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985" tabRatio="868" firstSheet="1" activeTab="5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PRESUPUESTO" sheetId="5" r:id="rId5"/>
    <sheet name="CPYG" sheetId="6" r:id="rId6"/>
    <sheet name="ACTIVO" sheetId="7" r:id="rId7"/>
    <sheet name="PASIVO" sheetId="8" r:id="rId8"/>
    <sheet name="Estado de Flujos" sheetId="9" r:id="rId9"/>
    <sheet name="INF. ADIC. CPYG " sheetId="10" r:id="rId10"/>
    <sheet name="Inversiones reales" sheetId="11" r:id="rId11"/>
    <sheet name="Inv. NO FIN" sheetId="12" r:id="rId12"/>
    <sheet name="Inv. FIN" sheetId="13" r:id="rId13"/>
    <sheet name="No rellenar EP-5 " sheetId="14" state="hidden" r:id="rId14"/>
    <sheet name="Deuda Viva y Prev. Vtos. Deuda" sheetId="15" r:id="rId15"/>
    <sheet name="Perfil Vtos Deuda 10 años" sheetId="16" r:id="rId16"/>
    <sheet name="Deuda L.P." sheetId="17" r:id="rId17"/>
    <sheet name="EP7 A" sheetId="18" state="hidden" r:id="rId18"/>
    <sheet name="Deuda C.P." sheetId="19" r:id="rId19"/>
    <sheet name="Personal" sheetId="20" r:id="rId20"/>
    <sheet name="PD 2017 (Personal)" sheetId="21" r:id="rId21"/>
    <sheet name="LF 2017 (Personal)" sheetId="22" r:id="rId22"/>
    <sheet name="LT 2017 (Personal)" sheetId="23" r:id="rId23"/>
    <sheet name="PRESTACIONES Y GASTOS SOCIALES" sheetId="24" r:id="rId24"/>
    <sheet name="COMPARATIVA 2016-2017" sheetId="25" r:id="rId25"/>
    <sheet name="Operaciones Internas" sheetId="26" r:id="rId26"/>
    <sheet name="Encomiendas" sheetId="27" r:id="rId27"/>
    <sheet name="Estab. Presup. " sheetId="28" state="hidden" r:id="rId28"/>
    <sheet name="Transf. y subv." sheetId="29" state="hidden" r:id="rId29"/>
    <sheet name="FINANCIACION" sheetId="30" state="hidden" r:id="rId30"/>
    <sheet name="PRESUPUESTO CPYG" sheetId="31" state="hidden" r:id="rId31"/>
  </sheets>
  <definedNames>
    <definedName name="_xlnm.Print_Area" localSheetId="2">'ACCIONISTAS'!$A$3:$F$55</definedName>
    <definedName name="_xlnm.Print_Area" localSheetId="6">'ACTIVO'!$B$2:$O$43</definedName>
    <definedName name="_xlnm.Print_Area" localSheetId="3">'COMPROBACION'!$B$2:$D$84</definedName>
    <definedName name="_xlnm.Print_Area" localSheetId="5">'CPYG'!$B$2:$E$94</definedName>
    <definedName name="_xlnm.Print_Area" localSheetId="18">'Deuda C.P.'!$A$2:$O$17</definedName>
    <definedName name="_xlnm.Print_Area" localSheetId="16">'Deuda L.P.'!$B$2:$P$24</definedName>
    <definedName name="_xlnm.Print_Area" localSheetId="26">'Encomiendas'!$B$2:$F$23</definedName>
    <definedName name="_xlnm.Print_Area" localSheetId="17">'EP7 A'!$A$1:$H$25</definedName>
    <definedName name="_xlnm.Print_Area" localSheetId="8">'Estado de Flujos'!$B$4:$E$84</definedName>
    <definedName name="_xlnm.Print_Area" localSheetId="9">'INF. ADIC. CPYG '!$B$2:$M$41</definedName>
    <definedName name="_xlnm.Print_Area" localSheetId="12">'Inv. FIN'!$B$2:$M$40</definedName>
    <definedName name="_xlnm.Print_Area" localSheetId="11">'Inv. NO FIN'!$B$1:$L$22</definedName>
    <definedName name="_xlnm.Print_Area" localSheetId="10">'Inversiones reales'!$B$2:$Q$27</definedName>
    <definedName name="_xlnm.Print_Area" localSheetId="0">'No rellenar Consolidación'!$A$1:$D$99</definedName>
    <definedName name="_xlnm.Print_Area" localSheetId="13">'No rellenar EP-5 '!$A$1:$D$81</definedName>
    <definedName name="_xlnm.Print_Area" localSheetId="25">'Operaciones Internas'!$B$2:$E$59</definedName>
    <definedName name="_xlnm.Print_Area" localSheetId="7">'PASIVO'!$B$2:$H$60</definedName>
    <definedName name="_xlnm.Print_Area" localSheetId="19">'Personal'!$B$2:$I$54</definedName>
    <definedName name="_xlnm.Print_Area" localSheetId="4">'PRESUPUESTO'!$B$2:$D$61</definedName>
    <definedName name="_xlnm.Print_Area" localSheetId="30">'PRESUPUESTO CPYG'!$B$2:$D$93</definedName>
    <definedName name="_xlnm.Print_Area" localSheetId="28">'Transf. y subv.'!$B$2:$I$69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<sst xmlns="http://schemas.openxmlformats.org/spreadsheetml/2006/main" count="1564" uniqueCount="983">
  <si>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</si>
  <si>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</si>
  <si>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</si>
  <si>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</si>
  <si>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</si>
  <si>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</si>
  <si>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</si>
  <si>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</si>
  <si>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</si>
  <si>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</si>
  <si>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</si>
  <si>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</si>
  <si>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</si>
  <si>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</si>
  <si>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</si>
  <si>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</si>
  <si>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</si>
  <si>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</si>
  <si>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</si>
  <si>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</si>
  <si>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</si>
  <si>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</si>
  <si>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</si>
  <si>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</si>
  <si>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</si>
  <si>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</si>
  <si>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</si>
  <si>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</si>
  <si>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</si>
  <si>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</si>
  <si>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</si>
  <si>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</si>
  <si>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</si>
  <si>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</si>
  <si>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</si>
  <si>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</si>
  <si>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</si>
  <si>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</si>
  <si>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</si>
  <si>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</si>
  <si>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</si>
  <si>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</si>
  <si>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</si>
  <si>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</si>
  <si>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</si>
  <si>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</si>
  <si>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</si>
  <si>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</si>
  <si>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</si>
  <si>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</si>
  <si>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</si>
  <si>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</si>
  <si>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</si>
  <si>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</si>
  <si>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</si>
  <si>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</si>
  <si>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</si>
  <si>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</si>
  <si>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</si>
  <si>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</si>
  <si>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</si>
  <si>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</si>
  <si>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</si>
  <si>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</si>
  <si>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</si>
  <si>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</si>
  <si>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</si>
  <si>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</si>
  <si>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</si>
  <si>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</si>
  <si>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</si>
  <si>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</si>
  <si>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</si>
  <si>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</si>
  <si>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</si>
  <si>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</si>
  <si>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</si>
  <si>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</si>
  <si>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</si>
  <si>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</si>
  <si>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</si>
  <si>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</si>
  <si>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</si>
  <si>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</si>
  <si>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</si>
  <si>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</si>
  <si>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</si>
  <si>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</si>
  <si>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</si>
  <si>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</si>
  <si>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</si>
  <si>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</si>
  <si>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</si>
  <si>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</si>
  <si>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</si>
  <si>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</si>
  <si>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</si>
  <si>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</si>
  <si>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</si>
  <si>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</si>
  <si>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</si>
  <si>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</si>
  <si>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</si>
  <si>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</si>
  <si>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</si>
  <si>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</si>
  <si>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</si>
  <si>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</si>
  <si>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</si>
  <si>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</si>
  <si>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</si>
  <si>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</si>
  <si>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</si>
  <si>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</si>
  <si>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</si>
  <si>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</si>
  <si>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</si>
  <si>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</si>
  <si>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</si>
  <si>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</si>
  <si>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</si>
  <si>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</si>
  <si>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</si>
  <si>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</si>
  <si>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</si>
  <si>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</si>
  <si>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</si>
  <si>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</si>
  <si>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</si>
  <si>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</si>
  <si>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</si>
  <si>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</si>
  <si>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</si>
  <si>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</si>
  <si>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</si>
  <si>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</si>
  <si>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</si>
  <si>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</si>
  <si>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</si>
  <si>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</si>
  <si>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</si>
  <si>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</si>
  <si>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</si>
  <si>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</si>
  <si>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</si>
  <si>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</si>
  <si>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</si>
  <si>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</si>
  <si>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</si>
  <si>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</si>
  <si>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</si>
  <si>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</si>
  <si>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</si>
  <si>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</si>
  <si>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</si>
  <si>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</si>
  <si>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</si>
  <si>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</si>
  <si>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</si>
  <si>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</si>
  <si>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</si>
  <si>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</si>
  <si>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</si>
  <si>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</si>
  <si>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</si>
  <si>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</si>
  <si>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</si>
  <si>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</si>
  <si>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</si>
  <si>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</si>
  <si>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</si>
  <si>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</si>
  <si>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</si>
  <si>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</si>
  <si>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</si>
  <si>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</si>
  <si>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</si>
  <si>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</si>
  <si>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</si>
  <si>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</si>
  <si>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</si>
  <si>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</si>
  <si>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</si>
  <si>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</si>
  <si>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</si>
  <si>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</si>
  <si>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</si>
  <si>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</si>
  <si>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</si>
  <si>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</si>
  <si>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</si>
  <si>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</si>
  <si>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</si>
  <si>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</si>
  <si>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</si>
  <si>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</si>
  <si>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</si>
  <si>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</si>
  <si>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</si>
  <si>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</si>
  <si>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</si>
  <si>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</si>
  <si>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</si>
  <si>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</si>
  <si>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</si>
  <si>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</si>
  <si>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</si>
  <si>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</si>
  <si>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</si>
  <si>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</si>
  <si>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</si>
  <si>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</si>
  <si>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</si>
  <si>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</si>
  <si>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</si>
  <si>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</si>
  <si>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</si>
  <si>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</si>
  <si>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</si>
  <si>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</si>
  <si>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</si>
  <si>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</si>
  <si>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</si>
  <si>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</si>
  <si>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</si>
  <si>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</si>
  <si>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</si>
  <si>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</si>
  <si>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</si>
  <si>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</si>
  <si>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</si>
  <si>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</si>
  <si>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</si>
  <si>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</si>
  <si>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</si>
  <si>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</si>
  <si>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</si>
  <si>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</si>
  <si>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</si>
  <si>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</si>
  <si>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</si>
  <si>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</si>
  <si>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</si>
  <si>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</si>
  <si>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>A) FLUJOS DE EFECTIVO DE LAS ACTIVIDADES DE EXPLOTACION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</si>
  <si>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</si>
  <si>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</si>
  <si>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</si>
  <si>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</si>
  <si>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</si>
  <si>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</si>
  <si>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</si>
  <si>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</si>
  <si>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</si>
  <si>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</si>
  <si>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</si>
  <si>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</si>
  <si>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</si>
  <si>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</si>
  <si>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</si>
  <si>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</si>
  <si>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</si>
  <si>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</si>
  <si>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</si>
  <si>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</si>
  <si>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</si>
  <si>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</si>
  <si>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</si>
  <si>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</si>
  <si>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</si>
  <si>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</si>
  <si>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</si>
  <si>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</si>
  <si>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</si>
  <si>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</si>
  <si>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</si>
  <si>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</si>
  <si>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</si>
  <si>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</si>
  <si>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</si>
  <si>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</si>
  <si>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</si>
  <si>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</si>
  <si>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</si>
  <si>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</si>
  <si>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</si>
  <si>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</si>
  <si>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</si>
  <si>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</si>
  <si>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</si>
  <si>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</si>
  <si>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</si>
  <si>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</si>
  <si>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</si>
  <si>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</si>
  <si>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</si>
  <si>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</si>
  <si>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</si>
  <si>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</si>
  <si>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</si>
  <si>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</si>
  <si>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</si>
  <si>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</si>
  <si>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</si>
  <si>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</si>
  <si>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</si>
  <si>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</si>
  <si>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</si>
  <si>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</si>
  <si>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</si>
  <si>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</si>
  <si>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</si>
  <si>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</si>
  <si>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</si>
  <si>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</si>
  <si>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</si>
  <si>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</si>
  <si>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</si>
  <si>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</si>
  <si>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</si>
  <si>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</si>
  <si>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</si>
  <si>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</si>
  <si>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</si>
  <si>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</si>
  <si>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</si>
  <si>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</si>
  <si>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</si>
  <si>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</si>
  <si>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</si>
  <si>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</si>
  <si>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</si>
  <si>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</si>
  <si>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</si>
  <si>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</si>
  <si>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</si>
  <si>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</si>
  <si>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</si>
  <si>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</si>
  <si>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</si>
  <si>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</si>
  <si>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</si>
  <si>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</si>
  <si>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</si>
  <si>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</si>
  <si>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</si>
  <si>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</si>
  <si>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</si>
  <si>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</si>
  <si>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</si>
  <si>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</si>
  <si>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</si>
  <si>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</si>
  <si>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</si>
  <si>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</si>
  <si>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</si>
  <si>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</si>
  <si>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</si>
  <si>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</si>
  <si>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</si>
  <si>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</si>
  <si>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</si>
  <si>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</si>
  <si>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</si>
  <si>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</si>
  <si>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</si>
  <si>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</si>
  <si>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</si>
  <si>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</si>
  <si>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</si>
  <si>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</si>
  <si>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</si>
  <si>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</si>
  <si>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</si>
  <si>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</si>
  <si>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</si>
  <si>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</si>
  <si>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</si>
  <si>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</si>
  <si>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</si>
  <si>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</si>
  <si>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</si>
  <si>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</si>
  <si>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</si>
  <si>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</si>
  <si>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</si>
  <si>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</si>
  <si>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</si>
  <si>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</si>
  <si>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</si>
  <si>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</si>
  <si>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</si>
  <si>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</si>
  <si>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</si>
  <si>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</si>
  <si>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</si>
  <si>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</si>
  <si>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</si>
  <si>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</si>
  <si>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</si>
  <si>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</si>
  <si>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</si>
  <si>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</si>
  <si>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</si>
  <si>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</si>
  <si>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</si>
  <si>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</si>
  <si>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</si>
  <si>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</si>
  <si>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</si>
  <si>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</si>
  <si>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</si>
  <si>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</si>
  <si>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</si>
  <si>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</si>
  <si>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</si>
  <si>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</si>
  <si>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</si>
  <si>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</si>
  <si>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</si>
  <si>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</si>
  <si>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</si>
  <si>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</si>
  <si>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</si>
  <si>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</si>
  <si>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</si>
  <si>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</si>
  <si>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</si>
  <si>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</si>
  <si>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</si>
  <si>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</si>
  <si>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</si>
  <si>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</si>
  <si>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</si>
  <si>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</si>
  <si>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</si>
  <si>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</si>
  <si>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</si>
  <si>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</si>
  <si>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</si>
  <si>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</si>
  <si>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</si>
  <si>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</si>
  <si>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</si>
  <si>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</si>
  <si>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</si>
  <si>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</si>
  <si>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</si>
  <si>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</si>
  <si>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</si>
  <si>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</si>
  <si>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</si>
  <si>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</si>
  <si>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</si>
  <si>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</si>
  <si>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</si>
  <si>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</si>
  <si>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</si>
  <si>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</si>
  <si>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</si>
  <si>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</si>
  <si>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</si>
  <si>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</si>
  <si>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</si>
  <si>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</si>
  <si>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</si>
  <si>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</si>
  <si>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</si>
  <si>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</si>
  <si>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</si>
  <si>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</si>
  <si>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</si>
  <si>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</si>
  <si>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</si>
  <si>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</si>
  <si>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</si>
  <si>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</si>
  <si>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</si>
  <si>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</si>
  <si>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</si>
  <si>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</si>
  <si>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</si>
  <si>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</si>
  <si>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</si>
  <si>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</si>
  <si>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</si>
  <si>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</si>
  <si>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</si>
  <si>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</si>
  <si>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</si>
  <si>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</si>
  <si>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</si>
  <si>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</si>
  <si>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</si>
  <si>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</si>
  <si>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</si>
  <si>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</si>
  <si>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</si>
  <si>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</si>
  <si>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2017             (previsión)</t>
  </si>
  <si>
    <t>2016        (estimado)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</si>
  <si>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</si>
  <si>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</si>
  <si>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</si>
  <si>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</si>
  <si>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</si>
  <si>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</si>
  <si>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</si>
  <si>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</si>
  <si>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</si>
  <si>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</si>
  <si>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</si>
  <si>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</si>
  <si>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</si>
  <si>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</si>
  <si>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</si>
  <si>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</si>
  <si>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</si>
  <si>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</si>
  <si>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</si>
  <si>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</si>
  <si>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</si>
  <si>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</si>
  <si>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</si>
  <si>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</si>
  <si>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</si>
  <si>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</si>
  <si>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</si>
  <si>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</si>
  <si>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</si>
  <si>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</si>
  <si>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</si>
  <si>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</si>
  <si>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</si>
  <si>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</si>
  <si>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</si>
  <si>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</si>
  <si>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</si>
  <si>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</si>
  <si>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</si>
  <si>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</si>
  <si>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</si>
  <si>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</si>
  <si>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</si>
  <si>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</si>
  <si>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</si>
  <si>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</si>
  <si>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</si>
  <si>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</si>
  <si>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</si>
  <si>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</si>
  <si>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</si>
  <si>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ENTIDAD: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</si>
  <si>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</si>
  <si>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</si>
  <si>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</si>
  <si>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</si>
  <si>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</si>
  <si>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</si>
  <si>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</si>
  <si>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</si>
  <si>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</si>
  <si>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</si>
  <si>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</si>
  <si>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</si>
  <si>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</si>
  <si>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</si>
  <si>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</si>
  <si>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</si>
  <si>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</si>
  <si>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</si>
  <si>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</si>
  <si>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</si>
  <si>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</si>
  <si>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</si>
  <si>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</si>
  <si>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</si>
  <si>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</si>
  <si>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</si>
  <si>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</si>
  <si>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</si>
  <si>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</si>
  <si>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</si>
  <si>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</si>
  <si>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</si>
  <si>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</si>
  <si>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</si>
  <si>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</si>
  <si>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</si>
  <si>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</si>
  <si>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</si>
  <si>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</si>
  <si>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</si>
  <si>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</si>
  <si>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</si>
  <si>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</si>
  <si>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</si>
  <si>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</si>
  <si>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</si>
  <si>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</si>
  <si>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</si>
  <si>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</si>
  <si>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</si>
  <si>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</si>
  <si>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</si>
  <si>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</si>
  <si>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</si>
  <si>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</si>
  <si>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</si>
  <si>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</si>
  <si>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</si>
  <si>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</si>
  <si>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</si>
  <si>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</si>
  <si>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</si>
  <si>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</si>
  <si>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</si>
  <si>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</si>
  <si>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</si>
  <si>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</si>
  <si>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</si>
  <si>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</si>
  <si>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</si>
  <si>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</si>
  <si>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</si>
  <si>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</si>
  <si>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</si>
  <si>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</si>
  <si>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</si>
  <si>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</si>
  <si>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</si>
  <si>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</si>
  <si>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</si>
  <si>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</si>
  <si>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</si>
  <si>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</si>
  <si>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</si>
  <si>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</si>
  <si>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</si>
  <si>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</si>
  <si>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</si>
  <si>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</si>
  <si>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</si>
  <si>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</si>
  <si>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</si>
  <si>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</si>
  <si>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</si>
  <si>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</si>
  <si>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</si>
  <si>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</si>
  <si>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</si>
  <si>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</si>
  <si>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</si>
  <si>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</si>
  <si>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</si>
  <si>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</si>
  <si>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</si>
  <si>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</si>
  <si>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</si>
  <si>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</si>
  <si>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</si>
  <si>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</si>
  <si>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</si>
  <si>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</si>
  <si>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</si>
  <si>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</si>
  <si>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</si>
  <si>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</si>
  <si>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</si>
  <si>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</si>
  <si>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</si>
  <si>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</si>
  <si>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</si>
  <si>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Secretario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</si>
  <si>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</si>
  <si>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</si>
  <si>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</si>
  <si>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</si>
  <si>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</si>
  <si>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</si>
  <si>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</si>
  <si>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</si>
  <si>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</si>
  <si>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</si>
  <si>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</si>
  <si>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</si>
  <si>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</si>
  <si>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</si>
  <si>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</si>
  <si>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</si>
  <si>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</si>
  <si>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</si>
  <si>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</si>
  <si>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</si>
  <si>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</si>
  <si>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</si>
  <si>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</si>
  <si>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</si>
  <si>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</si>
  <si>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</si>
  <si>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</si>
  <si>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</si>
  <si>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</si>
  <si>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</si>
  <si>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</si>
  <si>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</si>
  <si>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</si>
  <si>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</si>
  <si>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</si>
  <si>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</si>
  <si>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</si>
  <si>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</si>
  <si>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</si>
  <si>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</si>
  <si>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</si>
  <si>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</si>
  <si>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</si>
  <si>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</si>
  <si>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</si>
  <si>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</si>
  <si>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</si>
  <si>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</si>
  <si>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</si>
  <si>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</si>
  <si>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</si>
  <si>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</si>
  <si>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</si>
  <si>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</si>
  <si>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</si>
  <si>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</si>
  <si>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</si>
  <si>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</si>
  <si>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</si>
  <si>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</si>
  <si>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</si>
  <si>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</si>
  <si>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</si>
  <si>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</si>
  <si>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</si>
  <si>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</si>
  <si>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</si>
  <si>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</si>
  <si>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</si>
  <si>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</si>
  <si>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</si>
  <si>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</si>
  <si>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</si>
  <si>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</si>
  <si>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</si>
  <si>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</si>
  <si>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</si>
  <si>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</si>
  <si>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</si>
  <si>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</si>
  <si>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</si>
  <si>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</si>
  <si>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</si>
  <si>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</si>
  <si>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</si>
  <si>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</si>
  <si>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</si>
  <si>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</si>
  <si>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</si>
  <si>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</si>
  <si>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</si>
  <si>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</si>
  <si>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</si>
  <si>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</si>
  <si>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</si>
  <si>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</si>
  <si>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</si>
  <si>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</si>
  <si>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</si>
  <si>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</si>
  <si>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</si>
  <si>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</si>
  <si>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</si>
  <si>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</si>
  <si>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</si>
  <si>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</si>
  <si>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</si>
  <si>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</si>
  <si>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</si>
  <si>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</si>
  <si>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</si>
  <si>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</si>
  <si>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</si>
  <si>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</si>
  <si>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</si>
  <si>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</si>
  <si>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</si>
  <si>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</si>
  <si>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</si>
  <si>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</si>
  <si>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</si>
  <si>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</si>
  <si>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</si>
  <si>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</si>
  <si>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</si>
  <si>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</si>
  <si>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</si>
  <si>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</si>
  <si>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</si>
  <si>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</si>
  <si>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</si>
  <si>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</si>
  <si>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</si>
  <si>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</si>
  <si>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</si>
  <si>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</si>
  <si>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</si>
  <si>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</si>
  <si>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</si>
  <si>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</si>
  <si>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</si>
  <si>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</si>
  <si>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</si>
  <si>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</si>
  <si>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</si>
  <si>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</si>
  <si>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</si>
  <si>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</si>
  <si>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</si>
  <si>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</si>
  <si>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</si>
  <si>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</si>
  <si>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</si>
  <si>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</si>
  <si>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</si>
  <si>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</si>
  <si>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</si>
  <si>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</si>
  <si>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</si>
  <si>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</si>
  <si>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</si>
  <si>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</si>
  <si>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</si>
  <si>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</si>
  <si>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</si>
  <si>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</si>
  <si>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</si>
  <si>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</si>
  <si>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</si>
  <si>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</si>
  <si>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</si>
  <si>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</si>
  <si>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</si>
  <si>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</si>
  <si>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</si>
  <si>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</si>
  <si>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</si>
  <si>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</si>
  <si>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</si>
  <si>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</si>
  <si>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</si>
  <si>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</si>
  <si>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</si>
  <si>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</si>
  <si>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</si>
  <si>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Promoción Económica (Why Tenerife)</t>
  </si>
  <si>
    <t>Promoción Turística</t>
  </si>
  <si>
    <t>Promoción Equipos Deportivos Primer Nivel</t>
  </si>
  <si>
    <t>Acciones de Conectividad</t>
  </si>
  <si>
    <t>Acciones Promoción y Dinamización Zonas Turísticas</t>
  </si>
  <si>
    <t>Festival Starmus</t>
  </si>
  <si>
    <t>Patrocinio Cadena Dial</t>
  </si>
  <si>
    <t>Patrocinio Clubes Deportivos</t>
  </si>
  <si>
    <t>Aportación Específico Estudio Viabilidad Hotel Taoro</t>
  </si>
  <si>
    <t>Arona</t>
  </si>
  <si>
    <t>Adeje</t>
  </si>
  <si>
    <t>San Miguel</t>
  </si>
  <si>
    <t>Santiago del Teide</t>
  </si>
  <si>
    <t>Granadilla</t>
  </si>
  <si>
    <t>Guía de Isora</t>
  </si>
  <si>
    <t>Arico</t>
  </si>
  <si>
    <t>La Laguna</t>
  </si>
  <si>
    <t>Gastos de Funcionamiento</t>
  </si>
  <si>
    <t>Ayto. Arona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</si>
  <si>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</si>
  <si>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</si>
  <si>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</si>
  <si>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</si>
  <si>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</si>
  <si>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</si>
  <si>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</si>
  <si>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</si>
  <si>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</si>
  <si>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Fundación Canaria Factoría de Innovación Turística</t>
  </si>
  <si>
    <t>Canaudit, S.L</t>
  </si>
  <si>
    <t>Vicepresidente 2º</t>
  </si>
  <si>
    <t>Consejero Delegado</t>
  </si>
  <si>
    <t>Alberto Bernabé Teja</t>
  </si>
  <si>
    <t>Miguel Becerra Domínguez</t>
  </si>
  <si>
    <t>Vicente Dorta Antequera</t>
  </si>
  <si>
    <t>Josefa Mesa Mora</t>
  </si>
  <si>
    <t>Consejero</t>
  </si>
  <si>
    <t>Sebastián Ledesma Martín</t>
  </si>
  <si>
    <t>Jorge Alexis Marichal González</t>
  </si>
  <si>
    <t>Vicepresidente 1º</t>
  </si>
  <si>
    <t>Luz Goretti Gorrín Ramos</t>
  </si>
  <si>
    <t>Santiago  Tomás Sesé Alonso</t>
  </si>
  <si>
    <t>Vicepresidente 3º</t>
  </si>
  <si>
    <t>Ermitas Moreira García</t>
  </si>
  <si>
    <t>David Miguel Pérez González</t>
  </si>
  <si>
    <t>Dimple Melwani Melwani</t>
  </si>
  <si>
    <t>Enrique Talg Reineke</t>
  </si>
  <si>
    <t>Fernando Fariña Guillén</t>
  </si>
  <si>
    <t>FUNDACIÓN CANARIA CLUSTER</t>
  </si>
  <si>
    <t>Campaña SientoxCiento/ Campaña sensibilización a población local</t>
  </si>
  <si>
    <t>Acciones Promocionales y de Conectividad</t>
  </si>
  <si>
    <t>Convenio con Ayuntamientos</t>
  </si>
  <si>
    <t>Proyecto Tenerife Licita</t>
  </si>
  <si>
    <t>Fundación Fit</t>
  </si>
  <si>
    <t>Fundación Canaria Cluster</t>
  </si>
  <si>
    <t>Fianza Aena</t>
  </si>
  <si>
    <t>Fianza Costas</t>
  </si>
  <si>
    <t>Fianza Gobierno Canarias</t>
  </si>
  <si>
    <t>B.II.2) y C.III.2)</t>
  </si>
  <si>
    <t>La Caixa</t>
  </si>
  <si>
    <t>Subvenciones de Capital e Ingresos Financieros</t>
  </si>
  <si>
    <t>Turismo</t>
  </si>
  <si>
    <t>Convenio Regeneración del Destino</t>
  </si>
  <si>
    <t>Oficina Aeropuerto Tenerife Sur</t>
  </si>
  <si>
    <t>sociedad desarrollo</t>
  </si>
  <si>
    <t>promotur</t>
  </si>
  <si>
    <t>encomiendas</t>
  </si>
  <si>
    <t>sociedad desarrollo + promotur</t>
  </si>
  <si>
    <t>Asociados</t>
  </si>
  <si>
    <t>INF.ADIC CPYG</t>
  </si>
  <si>
    <t>Cabildo</t>
  </si>
  <si>
    <t>Puerto de la Cruz</t>
  </si>
  <si>
    <t>Acciones desarrollo Why Tenerife</t>
  </si>
  <si>
    <t>Acción Exterior</t>
  </si>
  <si>
    <t>Director</t>
  </si>
  <si>
    <t>Administrativo</t>
  </si>
  <si>
    <t>Coordinador</t>
  </si>
  <si>
    <t>ADMINISTRATIVO</t>
  </si>
  <si>
    <t>ORDENANZA</t>
  </si>
  <si>
    <t>ADJUNTO</t>
  </si>
  <si>
    <t>COODINADOR</t>
  </si>
  <si>
    <t>TÉCNICO</t>
  </si>
  <si>
    <t>Dif 16-15</t>
  </si>
  <si>
    <t>Dif 17-16</t>
  </si>
  <si>
    <t xml:space="preserve">      f) Otras aportaciones de socios y otros instrumentos de patrimonio (+/-)</t>
  </si>
  <si>
    <t>2017</t>
  </si>
  <si>
    <t>0901</t>
  </si>
  <si>
    <t>4322</t>
  </si>
  <si>
    <t>44933</t>
  </si>
  <si>
    <t>A3-SPET- APORTACIÓN GENÉRICA</t>
  </si>
  <si>
    <t>A3-SPET- INCREMENTO CAP. I 1% (2017)</t>
  </si>
  <si>
    <t>A3-SPET- INCREMENTO CAP. I 1% (2016)</t>
  </si>
  <si>
    <t>A3-SPET-GERENCIA CONV.REGENERAC.(22710)</t>
  </si>
  <si>
    <t>20170615</t>
  </si>
  <si>
    <t>A4-SPET- ACCIONES PROMOC.Y DE CONECTIVID</t>
  </si>
  <si>
    <t>20170609</t>
  </si>
  <si>
    <t>A4-SPET-PROMOCIÓN EQUIPOS DEP.(INCREM.)</t>
  </si>
  <si>
    <t>20170610</t>
  </si>
  <si>
    <t>A4-SPET- CAMPAÑA SENSIBILIZACIÓN POBLAC.</t>
  </si>
  <si>
    <t>20170611</t>
  </si>
  <si>
    <t>A4-SPET-PROMOC.Y DINAMIZAC.Z.TURÍSTICAS</t>
  </si>
  <si>
    <t>20170612</t>
  </si>
  <si>
    <t>A4-SPET-PATROCINIO CADENA DIAL</t>
  </si>
  <si>
    <t>20170613</t>
  </si>
  <si>
    <t>A4-SPET-PATROCINIO CLUBES DEPORTIVOS</t>
  </si>
  <si>
    <t>20170614</t>
  </si>
  <si>
    <t>A4-SPET-PROMOCIÓN CON AYUNTAMIENTOS</t>
  </si>
  <si>
    <t>A4-SPET-ACCIONES PROMOC.Y DE CONECTIVID.</t>
  </si>
  <si>
    <t xml:space="preserve">A4-SPET- PROMOCIÓN EQUIPOS DEPORTIVOS </t>
  </si>
  <si>
    <t>0911</t>
  </si>
  <si>
    <t>4391</t>
  </si>
  <si>
    <t>20170467</t>
  </si>
  <si>
    <t>PROYECTO "WHY TENERIFE"</t>
  </si>
  <si>
    <t>A4- SPET- APORTACIÓN "WHY TENERIFE"</t>
  </si>
  <si>
    <t>20170563</t>
  </si>
  <si>
    <t>A4- SPET- CLUB INTERNACIONALIZACIÓN</t>
  </si>
  <si>
    <t>3275</t>
  </si>
  <si>
    <t>22710</t>
  </si>
  <si>
    <t>ENCOMIENDAS DE GESTIÓN</t>
  </si>
  <si>
    <t>ENCOMIENDA PROYECTO "WHY TENERIFE"</t>
  </si>
  <si>
    <t xml:space="preserve"> </t>
  </si>
  <si>
    <t>ENTIDAD: SPET</t>
  </si>
  <si>
    <t>SPET</t>
  </si>
  <si>
    <t>COMPARACIÓN CAPÍTULO DE GASTOS DE PERSONAL EJERCICIOS 2017-2016 SPET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</si>
</sst>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  <numFmt numFmtId="214" formatCode="#,###,##0.00;\-#,###,##0.00;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b/>
      <sz val="8"/>
      <color indexed="10"/>
      <name val="Tahoma"/>
      <family val="2"/>
    </font>
    <font>
      <sz val="10"/>
      <color rgb="FFFF0000"/>
      <name val="Arial"/>
      <family val="2"/>
    </font>
    <font>
      <b/>
      <sz val="10"/>
      <color rgb="FF00B050"/>
      <name val="Tahoma"/>
      <family val="2"/>
    </font>
    <font>
      <b/>
      <sz val="10"/>
      <color rgb="FFFF0000"/>
      <name val="Tahoma"/>
      <family val="2"/>
    </font>
    <font>
      <sz val="10"/>
      <color rgb="FF00B050"/>
      <name val="Tahoma"/>
      <family val="2"/>
    </font>
    <font>
      <sz val="10"/>
      <color rgb="FFFF0000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469">
    <xf numFmtId="0" fontId="0" fillId="0" borderId="0" xfId="0" applyAlignment="1">
      <alignment/>
    </xf>
    <xf numFmtId="3" fontId="0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9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9" applyNumberFormat="1" applyFont="1" applyBorder="1" applyAlignment="1">
      <alignment vertical="center"/>
      <protection/>
    </xf>
    <xf numFmtId="3" fontId="0" fillId="0" borderId="0" xfId="69" applyNumberFormat="1" applyFont="1" applyFill="1" applyBorder="1">
      <alignment/>
      <protection/>
    </xf>
    <xf numFmtId="3" fontId="1" fillId="0" borderId="0" xfId="69" applyNumberFormat="1" applyFont="1" applyFill="1" applyBorder="1">
      <alignment/>
      <protection/>
    </xf>
    <xf numFmtId="3" fontId="1" fillId="0" borderId="0" xfId="69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9" applyNumberFormat="1" applyFont="1" applyBorder="1" applyAlignment="1">
      <alignment vertical="center"/>
      <protection/>
    </xf>
    <xf numFmtId="3" fontId="1" fillId="0" borderId="10" xfId="69" applyNumberFormat="1" applyFont="1" applyBorder="1" applyAlignment="1">
      <alignment horizontal="left" vertical="center" wrapText="1"/>
      <protection/>
    </xf>
    <xf numFmtId="3" fontId="0" fillId="0" borderId="10" xfId="69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9" applyNumberFormat="1" applyFont="1" applyBorder="1" applyAlignment="1">
      <alignment horizontal="centerContinuous" vertical="center"/>
      <protection/>
    </xf>
    <xf numFmtId="3" fontId="1" fillId="0" borderId="16" xfId="69" applyNumberFormat="1" applyFont="1" applyBorder="1" applyAlignment="1">
      <alignment vertical="center"/>
      <protection/>
    </xf>
    <xf numFmtId="177" fontId="1" fillId="0" borderId="17" xfId="69" applyNumberFormat="1" applyFont="1" applyBorder="1" applyAlignment="1">
      <alignment horizontal="right" vertical="center"/>
      <protection/>
    </xf>
    <xf numFmtId="177" fontId="1" fillId="0" borderId="12" xfId="69" applyNumberFormat="1" applyFont="1" applyBorder="1" applyAlignment="1">
      <alignment horizontal="right" vertical="center"/>
      <protection/>
    </xf>
    <xf numFmtId="177" fontId="1" fillId="0" borderId="17" xfId="69" applyNumberFormat="1" applyFont="1" applyBorder="1" applyAlignment="1" applyProtection="1">
      <alignment horizontal="right" vertical="center"/>
      <protection locked="0"/>
    </xf>
    <xf numFmtId="177" fontId="1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8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Fill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>
      <alignment horizontal="right" vertical="center"/>
      <protection/>
    </xf>
    <xf numFmtId="177" fontId="0" fillId="0" borderId="12" xfId="69" applyNumberFormat="1" applyFont="1" applyBorder="1" applyAlignment="1">
      <alignment horizontal="right" vertical="center"/>
      <protection/>
    </xf>
    <xf numFmtId="177" fontId="1" fillId="0" borderId="19" xfId="69" applyNumberFormat="1" applyFont="1" applyBorder="1" applyAlignment="1">
      <alignment horizontal="right" vertical="center"/>
      <protection/>
    </xf>
    <xf numFmtId="177" fontId="1" fillId="0" borderId="20" xfId="69" applyNumberFormat="1" applyFont="1" applyBorder="1" applyAlignment="1">
      <alignment horizontal="right" vertical="center"/>
      <protection/>
    </xf>
    <xf numFmtId="177" fontId="0" fillId="0" borderId="0" xfId="69" applyNumberFormat="1" applyFont="1" applyBorder="1">
      <alignment/>
      <protection/>
    </xf>
    <xf numFmtId="177" fontId="0" fillId="0" borderId="0" xfId="69" applyNumberFormat="1" applyFont="1" applyBorder="1" applyAlignment="1">
      <alignment horizontal="center"/>
      <protection/>
    </xf>
    <xf numFmtId="177" fontId="0" fillId="0" borderId="0" xfId="69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9" applyNumberFormat="1" applyFont="1" applyFill="1" applyBorder="1" applyAlignment="1" applyProtection="1">
      <alignment horizontal="right" vertical="center"/>
      <protection locked="0"/>
    </xf>
    <xf numFmtId="10" fontId="0" fillId="0" borderId="0" xfId="72" applyNumberFormat="1" applyFont="1" applyBorder="1" applyAlignment="1">
      <alignment vertical="center"/>
    </xf>
    <xf numFmtId="3" fontId="1" fillId="0" borderId="0" xfId="69" applyNumberFormat="1" applyFont="1" applyBorder="1" applyAlignment="1">
      <alignment vertical="center"/>
      <protection/>
    </xf>
    <xf numFmtId="3" fontId="0" fillId="0" borderId="0" xfId="68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4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8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4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8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8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4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3" fontId="43" fillId="0" borderId="0" xfId="65" applyNumberFormat="1" applyFont="1" applyAlignment="1">
      <alignment vertical="center"/>
      <protection/>
    </xf>
    <xf numFmtId="4" fontId="43" fillId="26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0" xfId="65" applyNumberFormat="1" applyFont="1" applyFill="1" applyBorder="1" applyAlignment="1" applyProtection="1">
      <alignment vertical="center"/>
      <protection locked="0"/>
    </xf>
    <xf numFmtId="0" fontId="43" fillId="0" borderId="27" xfId="65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5" applyNumberFormat="1" applyFont="1" applyFill="1" applyBorder="1" applyAlignment="1" applyProtection="1">
      <alignment horizontal="center" vertical="center"/>
      <protection locked="0"/>
    </xf>
    <xf numFmtId="49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61" xfId="65" applyNumberFormat="1" applyFont="1" applyFill="1" applyBorder="1" applyAlignment="1" applyProtection="1">
      <alignment vertical="center"/>
      <protection locked="0"/>
    </xf>
    <xf numFmtId="0" fontId="43" fillId="0" borderId="25" xfId="65" applyNumberFormat="1" applyFont="1" applyFill="1" applyBorder="1" applyAlignment="1" applyProtection="1">
      <alignment vertical="center"/>
      <protection locked="0"/>
    </xf>
    <xf numFmtId="4" fontId="43" fillId="26" borderId="57" xfId="65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2" xfId="65" applyNumberFormat="1" applyFont="1" applyFill="1" applyBorder="1" applyAlignment="1" applyProtection="1">
      <alignment vertical="center"/>
      <protection locked="0"/>
    </xf>
    <xf numFmtId="0" fontId="43" fillId="0" borderId="20" xfId="65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center" vertical="center"/>
      <protection locked="0"/>
    </xf>
    <xf numFmtId="177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48" xfId="65" applyNumberFormat="1" applyFont="1" applyBorder="1" applyAlignment="1" applyProtection="1">
      <alignment horizontal="center" vertical="center"/>
      <protection locked="0"/>
    </xf>
    <xf numFmtId="177" fontId="43" fillId="0" borderId="48" xfId="65" applyNumberFormat="1" applyFont="1" applyBorder="1" applyAlignment="1" applyProtection="1">
      <alignment horizontal="right" vertical="center"/>
      <protection locked="0"/>
    </xf>
    <xf numFmtId="0" fontId="42" fillId="0" borderId="0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vertical="center"/>
      <protection/>
    </xf>
    <xf numFmtId="177" fontId="42" fillId="0" borderId="0" xfId="65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6" applyFont="1" applyAlignment="1">
      <alignment vertical="center"/>
      <protection/>
    </xf>
    <xf numFmtId="4" fontId="43" fillId="0" borderId="0" xfId="66" applyNumberFormat="1" applyFont="1" applyAlignment="1">
      <alignment vertical="center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vertical="center" wrapText="1"/>
      <protection/>
    </xf>
    <xf numFmtId="4" fontId="43" fillId="0" borderId="64" xfId="66" applyNumberFormat="1" applyFont="1" applyBorder="1" applyAlignment="1">
      <alignment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64" xfId="66" applyNumberFormat="1" applyFont="1" applyFill="1" applyBorder="1" applyAlignment="1">
      <alignment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4" fontId="42" fillId="0" borderId="12" xfId="66" applyNumberFormat="1" applyFont="1" applyFill="1" applyBorder="1" applyAlignment="1">
      <alignment horizontal="center" vertical="center" wrapText="1"/>
      <protection/>
    </xf>
    <xf numFmtId="4" fontId="54" fillId="0" borderId="0" xfId="66" applyNumberFormat="1" applyFont="1" applyAlignment="1">
      <alignment vertical="center"/>
      <protection/>
    </xf>
    <xf numFmtId="4" fontId="43" fillId="0" borderId="65" xfId="66" applyNumberFormat="1" applyFont="1" applyFill="1" applyBorder="1" applyAlignment="1" quotePrefix="1">
      <alignment horizontal="center" vertical="center" wrapText="1"/>
      <protection/>
    </xf>
    <xf numFmtId="0" fontId="43" fillId="0" borderId="17" xfId="66" applyFont="1" applyFill="1" applyBorder="1" applyAlignment="1">
      <alignment horizontal="center" vertical="center"/>
      <protection/>
    </xf>
    <xf numFmtId="177" fontId="43" fillId="0" borderId="17" xfId="66" applyNumberFormat="1" applyFont="1" applyFill="1" applyBorder="1" applyAlignment="1">
      <alignment horizontal="center" vertical="center" wrapText="1"/>
      <protection/>
    </xf>
    <xf numFmtId="177" fontId="43" fillId="0" borderId="17" xfId="66" applyNumberFormat="1" applyFont="1" applyFill="1" applyBorder="1" applyAlignment="1">
      <alignment horizontal="right" vertical="center" wrapText="1"/>
      <protection/>
    </xf>
    <xf numFmtId="177" fontId="43" fillId="0" borderId="17" xfId="66" applyNumberFormat="1" applyFont="1" applyBorder="1" applyAlignment="1">
      <alignment horizontal="center" vertical="center"/>
      <protection/>
    </xf>
    <xf numFmtId="4" fontId="43" fillId="0" borderId="12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Alignment="1">
      <alignment horizontal="center" vertical="center"/>
      <protection/>
    </xf>
    <xf numFmtId="4" fontId="54" fillId="0" borderId="0" xfId="66" applyNumberFormat="1" applyFont="1" applyAlignment="1">
      <alignment horizontal="center" vertical="center"/>
      <protection/>
    </xf>
    <xf numFmtId="4" fontId="43" fillId="0" borderId="0" xfId="66" applyNumberFormat="1" applyFont="1" applyAlignment="1">
      <alignment horizontal="center" vertical="center"/>
      <protection/>
    </xf>
    <xf numFmtId="4" fontId="43" fillId="0" borderId="65" xfId="66" applyNumberFormat="1" applyFont="1" applyFill="1" applyBorder="1" applyAlignment="1">
      <alignment horizontal="center" vertical="center" wrapText="1"/>
      <protection/>
    </xf>
    <xf numFmtId="171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17" xfId="66" applyNumberFormat="1" applyFont="1" applyBorder="1" applyAlignment="1">
      <alignment horizontal="center" vertical="center"/>
      <protection/>
    </xf>
    <xf numFmtId="4" fontId="43" fillId="0" borderId="66" xfId="66" applyNumberFormat="1" applyFont="1" applyFill="1" applyBorder="1" applyAlignment="1">
      <alignment horizontal="center" vertical="center" wrapText="1"/>
      <protection/>
    </xf>
    <xf numFmtId="0" fontId="43" fillId="0" borderId="48" xfId="66" applyFont="1" applyFill="1" applyBorder="1" applyAlignment="1">
      <alignment horizontal="center" vertical="center"/>
      <protection/>
    </xf>
    <xf numFmtId="4" fontId="43" fillId="0" borderId="48" xfId="66" applyNumberFormat="1" applyFont="1" applyFill="1" applyBorder="1" applyAlignment="1">
      <alignment horizontal="center" vertical="center" wrapText="1"/>
      <protection/>
    </xf>
    <xf numFmtId="171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Border="1" applyAlignment="1">
      <alignment horizontal="center" vertical="center"/>
      <protection/>
    </xf>
    <xf numFmtId="4" fontId="43" fillId="0" borderId="25" xfId="66" applyNumberFormat="1" applyFont="1" applyFill="1" applyBorder="1" applyAlignment="1">
      <alignment horizontal="center" vertical="center" wrapText="1"/>
      <protection/>
    </xf>
    <xf numFmtId="49" fontId="43" fillId="0" borderId="50" xfId="66" applyNumberFormat="1" applyFont="1" applyBorder="1" applyAlignment="1">
      <alignment horizontal="center" vertical="center"/>
      <protection/>
    </xf>
    <xf numFmtId="0" fontId="43" fillId="0" borderId="67" xfId="66" applyFont="1" applyBorder="1" applyAlignment="1">
      <alignment horizontal="center" vertical="center"/>
      <protection/>
    </xf>
    <xf numFmtId="0" fontId="43" fillId="0" borderId="50" xfId="66" applyFont="1" applyBorder="1" applyAlignment="1">
      <alignment horizontal="center" vertical="center"/>
      <protection/>
    </xf>
    <xf numFmtId="0" fontId="43" fillId="0" borderId="50" xfId="66" applyNumberFormat="1" applyFont="1" applyBorder="1" applyAlignment="1" applyProtection="1">
      <alignment horizontal="center" vertical="center"/>
      <protection locked="0"/>
    </xf>
    <xf numFmtId="4" fontId="43" fillId="0" borderId="50" xfId="66" applyNumberFormat="1" applyFont="1" applyBorder="1" applyAlignment="1">
      <alignment horizontal="center" vertical="center"/>
      <protection/>
    </xf>
    <xf numFmtId="4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NumberFormat="1" applyFont="1" applyBorder="1" applyAlignment="1">
      <alignment horizontal="center" vertical="center"/>
      <protection/>
    </xf>
    <xf numFmtId="3" fontId="43" fillId="0" borderId="0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 vertical="center"/>
      <protection/>
    </xf>
    <xf numFmtId="0" fontId="42" fillId="0" borderId="0" xfId="66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/>
      <protection locked="0"/>
    </xf>
    <xf numFmtId="4" fontId="43" fillId="0" borderId="64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5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5" applyNumberFormat="1" applyFont="1" applyBorder="1" applyAlignment="1" applyProtection="1">
      <alignment horizontal="right" vertical="center"/>
      <protection locked="0"/>
    </xf>
    <xf numFmtId="177" fontId="43" fillId="0" borderId="12" xfId="65" applyNumberFormat="1" applyFont="1" applyBorder="1" applyAlignment="1" applyProtection="1">
      <alignment horizontal="right" vertical="center"/>
      <protection locked="0"/>
    </xf>
    <xf numFmtId="177" fontId="43" fillId="0" borderId="25" xfId="65" applyNumberFormat="1" applyFont="1" applyBorder="1" applyAlignment="1" applyProtection="1">
      <alignment horizontal="right" vertical="center"/>
      <protection locked="0"/>
    </xf>
    <xf numFmtId="3" fontId="43" fillId="0" borderId="0" xfId="67" applyNumberFormat="1" applyFont="1">
      <alignment/>
      <protection/>
    </xf>
    <xf numFmtId="3" fontId="43" fillId="0" borderId="0" xfId="67" applyNumberFormat="1" applyFont="1" applyBorder="1">
      <alignment/>
      <protection/>
    </xf>
    <xf numFmtId="4" fontId="43" fillId="0" borderId="0" xfId="67" applyNumberFormat="1" applyFont="1">
      <alignment/>
      <protection/>
    </xf>
    <xf numFmtId="1" fontId="47" fillId="8" borderId="70" xfId="61" applyNumberFormat="1" applyFont="1" applyFill="1" applyBorder="1" applyAlignment="1">
      <alignment horizontal="center" vertical="center"/>
      <protection/>
    </xf>
    <xf numFmtId="3" fontId="43" fillId="0" borderId="0" xfId="67" applyNumberFormat="1" applyFont="1" applyAlignment="1">
      <alignment horizontal="centerContinuous"/>
      <protection/>
    </xf>
    <xf numFmtId="4" fontId="43" fillId="0" borderId="0" xfId="67" applyNumberFormat="1" applyFont="1" applyAlignment="1">
      <alignment horizontal="centerContinuous"/>
      <protection/>
    </xf>
    <xf numFmtId="3" fontId="47" fillId="8" borderId="71" xfId="61" applyNumberFormat="1" applyFont="1" applyFill="1" applyBorder="1" applyAlignment="1">
      <alignment horizontal="center" vertical="center" wrapText="1"/>
      <protection/>
    </xf>
    <xf numFmtId="3" fontId="42" fillId="0" borderId="66" xfId="67" applyNumberFormat="1" applyFont="1" applyBorder="1" applyAlignment="1">
      <alignment vertical="center"/>
      <protection/>
    </xf>
    <xf numFmtId="3" fontId="43" fillId="0" borderId="48" xfId="67" applyNumberFormat="1" applyFont="1" applyBorder="1" applyAlignment="1">
      <alignment vertical="center"/>
      <protection/>
    </xf>
    <xf numFmtId="1" fontId="42" fillId="0" borderId="61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1" xfId="67" applyNumberFormat="1" applyFont="1" applyFill="1" applyBorder="1" applyAlignment="1">
      <alignment horizontal="left" vertical="center" wrapText="1"/>
      <protection/>
    </xf>
    <xf numFmtId="3" fontId="43" fillId="0" borderId="52" xfId="67" applyNumberFormat="1" applyFont="1" applyFill="1" applyBorder="1" applyAlignment="1">
      <alignment vertical="center"/>
      <protection/>
    </xf>
    <xf numFmtId="43" fontId="42" fillId="0" borderId="52" xfId="67" applyNumberFormat="1" applyFont="1" applyFill="1" applyBorder="1" applyAlignment="1">
      <alignment vertical="center"/>
      <protection/>
    </xf>
    <xf numFmtId="43" fontId="42" fillId="0" borderId="47" xfId="67" applyNumberFormat="1" applyFont="1" applyFill="1" applyBorder="1" applyAlignment="1">
      <alignment vertical="center"/>
      <protection/>
    </xf>
    <xf numFmtId="3" fontId="42" fillId="0" borderId="72" xfId="67" applyNumberFormat="1" applyFont="1" applyBorder="1" applyAlignment="1">
      <alignment horizontal="left" vertical="center" wrapText="1"/>
      <protection/>
    </xf>
    <xf numFmtId="3" fontId="43" fillId="0" borderId="73" xfId="67" applyNumberFormat="1" applyFont="1" applyBorder="1" applyAlignment="1">
      <alignment vertical="center"/>
      <protection/>
    </xf>
    <xf numFmtId="3" fontId="42" fillId="0" borderId="65" xfId="67" applyNumberFormat="1" applyFont="1" applyBorder="1" applyAlignment="1">
      <alignment horizontal="left" vertical="center" wrapText="1"/>
      <protection/>
    </xf>
    <xf numFmtId="3" fontId="43" fillId="0" borderId="17" xfId="67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43" fillId="0" borderId="10" xfId="70" applyNumberFormat="1" applyFont="1" applyBorder="1" applyAlignment="1">
      <alignment horizontal="left" vertical="center" wrapText="1"/>
      <protection/>
    </xf>
    <xf numFmtId="3" fontId="43" fillId="0" borderId="0" xfId="67" applyNumberFormat="1" applyFont="1" applyFill="1">
      <alignment/>
      <protection/>
    </xf>
    <xf numFmtId="3" fontId="43" fillId="0" borderId="74" xfId="67" applyNumberFormat="1" applyFont="1" applyBorder="1" applyAlignment="1">
      <alignment vertical="center"/>
      <protection/>
    </xf>
    <xf numFmtId="3" fontId="43" fillId="0" borderId="75" xfId="70" applyNumberFormat="1" applyFont="1" applyBorder="1" applyAlignment="1">
      <alignment vertical="center"/>
      <protection/>
    </xf>
    <xf numFmtId="3" fontId="43" fillId="0" borderId="64" xfId="70" applyNumberFormat="1" applyFont="1" applyBorder="1" applyAlignment="1">
      <alignment vertical="center"/>
      <protection/>
    </xf>
    <xf numFmtId="3" fontId="42" fillId="16" borderId="58" xfId="67" applyNumberFormat="1" applyFont="1" applyFill="1" applyBorder="1" applyAlignment="1">
      <alignment horizontal="left" vertical="center" wrapText="1"/>
      <protection/>
    </xf>
    <xf numFmtId="3" fontId="43" fillId="16" borderId="76" xfId="70" applyNumberFormat="1" applyFont="1" applyFill="1" applyBorder="1" applyAlignment="1">
      <alignment vertical="center"/>
      <protection/>
    </xf>
    <xf numFmtId="3" fontId="42" fillId="0" borderId="77" xfId="67" applyNumberFormat="1" applyFont="1" applyBorder="1" applyAlignment="1">
      <alignment horizontal="left" vertical="center" wrapText="1"/>
      <protection/>
    </xf>
    <xf numFmtId="3" fontId="43" fillId="0" borderId="29" xfId="70" applyNumberFormat="1" applyFont="1" applyBorder="1" applyAlignment="1">
      <alignment vertical="center"/>
      <protection/>
    </xf>
    <xf numFmtId="3" fontId="43" fillId="0" borderId="78" xfId="70" applyNumberFormat="1" applyFont="1" applyBorder="1" applyAlignment="1">
      <alignment vertical="center"/>
      <protection/>
    </xf>
    <xf numFmtId="3" fontId="42" fillId="26" borderId="51" xfId="67" applyNumberFormat="1" applyFont="1" applyFill="1" applyBorder="1" applyAlignment="1">
      <alignment horizontal="left" vertical="center" wrapText="1"/>
      <protection/>
    </xf>
    <xf numFmtId="3" fontId="43" fillId="26" borderId="52" xfId="67" applyNumberFormat="1" applyFont="1" applyFill="1" applyBorder="1" applyAlignment="1">
      <alignment vertical="center"/>
      <protection/>
    </xf>
    <xf numFmtId="3" fontId="42" fillId="16" borderId="79" xfId="67" applyNumberFormat="1" applyFont="1" applyFill="1" applyBorder="1" applyAlignment="1">
      <alignment horizontal="left" vertical="center" wrapText="1"/>
      <protection/>
    </xf>
    <xf numFmtId="3" fontId="43" fillId="16" borderId="80" xfId="67" applyNumberFormat="1" applyFont="1" applyFill="1" applyBorder="1" applyAlignment="1">
      <alignment vertical="center"/>
      <protection/>
    </xf>
    <xf numFmtId="3" fontId="43" fillId="0" borderId="72" xfId="70" applyNumberFormat="1" applyFont="1" applyBorder="1" applyAlignment="1">
      <alignment vertical="center"/>
      <protection/>
    </xf>
    <xf numFmtId="3" fontId="43" fillId="0" borderId="73" xfId="70" applyNumberFormat="1" applyFont="1" applyBorder="1" applyAlignment="1">
      <alignment vertical="center"/>
      <protection/>
    </xf>
    <xf numFmtId="3" fontId="43" fillId="0" borderId="58" xfId="70" applyNumberFormat="1" applyFont="1" applyBorder="1" applyAlignment="1">
      <alignment vertical="center"/>
      <protection/>
    </xf>
    <xf numFmtId="3" fontId="43" fillId="0" borderId="19" xfId="70" applyNumberFormat="1" applyFont="1" applyBorder="1" applyAlignment="1">
      <alignment vertical="center"/>
      <protection/>
    </xf>
    <xf numFmtId="177" fontId="43" fillId="0" borderId="0" xfId="67" applyNumberFormat="1" applyFont="1">
      <alignment/>
      <protection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9" applyNumberFormat="1" applyFont="1" applyBorder="1">
      <alignment/>
      <protection/>
    </xf>
    <xf numFmtId="3" fontId="43" fillId="0" borderId="0" xfId="69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3" fontId="44" fillId="0" borderId="61" xfId="69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9" applyNumberFormat="1" applyFont="1" applyBorder="1" applyAlignment="1">
      <alignment horizontal="center" vertical="center" wrapText="1"/>
      <protection/>
    </xf>
    <xf numFmtId="3" fontId="32" fillId="0" borderId="18" xfId="69" applyNumberFormat="1" applyFont="1" applyFill="1" applyBorder="1" applyAlignment="1">
      <alignment vertical="center"/>
      <protection/>
    </xf>
    <xf numFmtId="4" fontId="44" fillId="0" borderId="0" xfId="69" applyNumberFormat="1" applyFont="1" applyBorder="1" applyAlignment="1">
      <alignment horizontal="right" vertical="center"/>
      <protection/>
    </xf>
    <xf numFmtId="3" fontId="43" fillId="0" borderId="0" xfId="69" applyNumberFormat="1" applyFont="1" applyBorder="1" applyAlignment="1">
      <alignment vertical="center"/>
      <protection/>
    </xf>
    <xf numFmtId="3" fontId="4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9" applyNumberFormat="1" applyFont="1" applyBorder="1" applyAlignment="1">
      <alignment vertical="center"/>
      <protection/>
    </xf>
    <xf numFmtId="3" fontId="43" fillId="0" borderId="17" xfId="69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9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9" applyNumberFormat="1" applyFont="1" applyFill="1" applyBorder="1" applyAlignment="1">
      <alignment vertical="center"/>
      <protection/>
    </xf>
    <xf numFmtId="3" fontId="43" fillId="0" borderId="0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9" applyNumberFormat="1" applyFont="1" applyFill="1" applyBorder="1" applyAlignment="1">
      <alignment vertical="center" wrapText="1"/>
      <protection/>
    </xf>
    <xf numFmtId="3" fontId="3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9" applyNumberFormat="1" applyFont="1" applyFill="1" applyBorder="1" applyAlignment="1">
      <alignment vertical="center" wrapText="1"/>
      <protection/>
    </xf>
    <xf numFmtId="3" fontId="44" fillId="0" borderId="17" xfId="69" applyNumberFormat="1" applyFont="1" applyFill="1" applyBorder="1" applyAlignment="1">
      <alignment vertical="center"/>
      <protection/>
    </xf>
    <xf numFmtId="4" fontId="43" fillId="0" borderId="0" xfId="69" applyNumberFormat="1" applyFont="1" applyBorder="1">
      <alignment/>
      <protection/>
    </xf>
    <xf numFmtId="4" fontId="40" fillId="0" borderId="0" xfId="69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9" applyNumberFormat="1" applyFont="1" applyBorder="1">
      <alignment/>
      <protection/>
    </xf>
    <xf numFmtId="4" fontId="43" fillId="0" borderId="0" xfId="69" applyNumberFormat="1" applyFont="1" applyBorder="1" applyAlignment="1">
      <alignment horizontal="center"/>
      <protection/>
    </xf>
    <xf numFmtId="4" fontId="40" fillId="0" borderId="0" xfId="69" applyNumberFormat="1" applyFont="1" applyBorder="1" applyAlignment="1">
      <alignment horizontal="center"/>
      <protection/>
    </xf>
    <xf numFmtId="177" fontId="43" fillId="0" borderId="0" xfId="69" applyNumberFormat="1" applyFont="1" applyBorder="1">
      <alignment/>
      <protection/>
    </xf>
    <xf numFmtId="177" fontId="40" fillId="0" borderId="0" xfId="69" applyNumberFormat="1" applyFont="1" applyBorder="1">
      <alignment/>
      <protection/>
    </xf>
    <xf numFmtId="177" fontId="43" fillId="22" borderId="0" xfId="69" applyNumberFormat="1" applyFont="1" applyFill="1" applyBorder="1">
      <alignment/>
      <protection/>
    </xf>
    <xf numFmtId="177" fontId="40" fillId="22" borderId="0" xfId="69" applyNumberFormat="1" applyFont="1" applyFill="1" applyBorder="1">
      <alignment/>
      <protection/>
    </xf>
    <xf numFmtId="3" fontId="43" fillId="0" borderId="0" xfId="69" applyNumberFormat="1" applyFont="1" applyFill="1" applyBorder="1">
      <alignment/>
      <protection/>
    </xf>
    <xf numFmtId="177" fontId="43" fillId="0" borderId="0" xfId="69" applyNumberFormat="1" applyFont="1" applyFill="1" applyBorder="1">
      <alignment/>
      <protection/>
    </xf>
    <xf numFmtId="177" fontId="40" fillId="0" borderId="0" xfId="69" applyNumberFormat="1" applyFont="1" applyFill="1" applyBorder="1">
      <alignment/>
      <protection/>
    </xf>
    <xf numFmtId="3" fontId="40" fillId="0" borderId="0" xfId="69" applyNumberFormat="1" applyFont="1" applyFill="1" applyBorder="1">
      <alignment/>
      <protection/>
    </xf>
    <xf numFmtId="3" fontId="43" fillId="22" borderId="0" xfId="69" applyNumberFormat="1" applyFont="1" applyFill="1" applyBorder="1" applyAlignment="1">
      <alignment horizontal="right"/>
      <protection/>
    </xf>
    <xf numFmtId="4" fontId="43" fillId="22" borderId="0" xfId="69" applyNumberFormat="1" applyFont="1" applyFill="1" applyBorder="1">
      <alignment/>
      <protection/>
    </xf>
    <xf numFmtId="4" fontId="40" fillId="22" borderId="0" xfId="69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0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4" xfId="59" applyNumberFormat="1" applyFont="1" applyFill="1" applyBorder="1" applyAlignment="1">
      <alignment vertical="center"/>
      <protection/>
    </xf>
    <xf numFmtId="0" fontId="43" fillId="0" borderId="64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9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81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82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82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81" xfId="0" applyNumberFormat="1" applyFont="1" applyBorder="1" applyAlignment="1">
      <alignment vertical="center"/>
    </xf>
    <xf numFmtId="177" fontId="42" fillId="0" borderId="82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5" xfId="55" applyFont="1" applyBorder="1" applyAlignment="1">
      <alignment vertical="center" wrapText="1"/>
      <protection/>
    </xf>
    <xf numFmtId="0" fontId="42" fillId="0" borderId="65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6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83" xfId="0" applyFont="1" applyBorder="1" applyAlignment="1" applyProtection="1">
      <alignment vertical="center" wrapText="1"/>
      <protection locked="0"/>
    </xf>
    <xf numFmtId="169" fontId="49" fillId="0" borderId="83" xfId="45" applyFont="1" applyBorder="1" applyAlignment="1" applyProtection="1">
      <alignment vertical="center" wrapText="1"/>
      <protection locked="0"/>
    </xf>
    <xf numFmtId="169" fontId="43" fillId="0" borderId="83" xfId="45" applyFont="1" applyBorder="1" applyAlignment="1" applyProtection="1">
      <alignment vertical="center" wrapText="1"/>
      <protection locked="0"/>
    </xf>
    <xf numFmtId="177" fontId="43" fillId="0" borderId="83" xfId="45" applyNumberFormat="1" applyFont="1" applyBorder="1" applyAlignment="1" applyProtection="1">
      <alignment vertical="center" wrapText="1"/>
      <protection locked="0"/>
    </xf>
    <xf numFmtId="10" fontId="48" fillId="0" borderId="83" xfId="72" applyNumberFormat="1" applyFont="1" applyBorder="1" applyAlignment="1" applyProtection="1">
      <alignment vertical="center" wrapText="1"/>
      <protection locked="0"/>
    </xf>
    <xf numFmtId="177" fontId="43" fillId="0" borderId="83" xfId="72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0" fontId="43" fillId="0" borderId="83" xfId="72" applyNumberFormat="1" applyFont="1" applyBorder="1" applyAlignment="1" applyProtection="1">
      <alignment horizontal="center" vertical="center" wrapText="1"/>
      <protection locked="0"/>
    </xf>
    <xf numFmtId="177" fontId="42" fillId="0" borderId="83" xfId="0" applyNumberFormat="1" applyFont="1" applyBorder="1" applyAlignment="1" applyProtection="1">
      <alignment horizontal="left" vertical="center" wrapText="1"/>
      <protection locked="0"/>
    </xf>
    <xf numFmtId="177" fontId="42" fillId="0" borderId="83" xfId="45" applyNumberFormat="1" applyFont="1" applyBorder="1" applyAlignment="1" applyProtection="1">
      <alignment vertical="center" wrapText="1"/>
      <protection locked="0"/>
    </xf>
    <xf numFmtId="177" fontId="42" fillId="0" borderId="84" xfId="0" applyNumberFormat="1" applyFont="1" applyBorder="1" applyAlignment="1" applyProtection="1">
      <alignment horizontal="left" vertical="center" wrapText="1"/>
      <protection locked="0"/>
    </xf>
    <xf numFmtId="177" fontId="43" fillId="0" borderId="85" xfId="0" applyNumberFormat="1" applyFont="1" applyBorder="1" applyAlignment="1" applyProtection="1">
      <alignment vertical="center" wrapText="1"/>
      <protection locked="0"/>
    </xf>
    <xf numFmtId="177" fontId="43" fillId="0" borderId="85" xfId="72" applyNumberFormat="1" applyFont="1" applyBorder="1" applyAlignment="1" applyProtection="1">
      <alignment vertical="center" wrapText="1"/>
      <protection locked="0"/>
    </xf>
    <xf numFmtId="177" fontId="43" fillId="0" borderId="86" xfId="0" applyNumberFormat="1" applyFont="1" applyBorder="1" applyAlignment="1" applyProtection="1">
      <alignment vertical="center" wrapText="1"/>
      <protection locked="0"/>
    </xf>
    <xf numFmtId="177" fontId="42" fillId="0" borderId="87" xfId="0" applyNumberFormat="1" applyFont="1" applyBorder="1" applyAlignment="1" applyProtection="1">
      <alignment horizontal="left" vertical="center" wrapText="1"/>
      <protection locked="0"/>
    </xf>
    <xf numFmtId="177" fontId="42" fillId="0" borderId="87" xfId="45" applyNumberFormat="1" applyFont="1" applyBorder="1" applyAlignment="1" applyProtection="1">
      <alignment vertical="center" wrapText="1"/>
      <protection locked="0"/>
    </xf>
    <xf numFmtId="177" fontId="42" fillId="0" borderId="88" xfId="0" applyNumberFormat="1" applyFont="1" applyBorder="1" applyAlignment="1" applyProtection="1">
      <alignment horizontal="left" vertical="center" wrapText="1"/>
      <protection locked="0"/>
    </xf>
    <xf numFmtId="179" fontId="42" fillId="0" borderId="83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3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83" xfId="45" applyNumberFormat="1" applyFont="1" applyFill="1" applyBorder="1" applyAlignment="1" applyProtection="1">
      <alignment vertical="center" wrapText="1"/>
      <protection/>
    </xf>
    <xf numFmtId="179" fontId="42" fillId="0" borderId="83" xfId="45" applyNumberFormat="1" applyFont="1" applyFill="1" applyBorder="1" applyAlignment="1" applyProtection="1">
      <alignment vertical="center" wrapText="1"/>
      <protection locked="0"/>
    </xf>
    <xf numFmtId="177" fontId="42" fillId="0" borderId="83" xfId="45" applyNumberFormat="1" applyFont="1" applyFill="1" applyBorder="1" applyAlignment="1" applyProtection="1">
      <alignment vertical="center" wrapText="1"/>
      <protection/>
    </xf>
    <xf numFmtId="179" fontId="42" fillId="0" borderId="87" xfId="45" applyNumberFormat="1" applyFont="1" applyFill="1" applyBorder="1" applyAlignment="1" applyProtection="1">
      <alignment vertical="center" wrapText="1"/>
      <protection/>
    </xf>
    <xf numFmtId="179" fontId="42" fillId="0" borderId="87" xfId="45" applyNumberFormat="1" applyFont="1" applyFill="1" applyBorder="1" applyAlignment="1" applyProtection="1">
      <alignment vertical="center" wrapText="1"/>
      <protection locked="0"/>
    </xf>
    <xf numFmtId="177" fontId="42" fillId="0" borderId="87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Fill="1" applyBorder="1" applyAlignment="1">
      <alignment horizontal="right" vertical="center" wrapText="1"/>
      <protection/>
    </xf>
    <xf numFmtId="43" fontId="42" fillId="0" borderId="73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26" borderId="52" xfId="67" applyNumberFormat="1" applyFont="1" applyFill="1" applyBorder="1" applyAlignment="1" applyProtection="1">
      <alignment vertical="center"/>
      <protection locked="0"/>
    </xf>
    <xf numFmtId="43" fontId="42" fillId="26" borderId="53" xfId="67" applyNumberFormat="1" applyFont="1" applyFill="1" applyBorder="1" applyAlignment="1" applyProtection="1">
      <alignment vertical="center"/>
      <protection locked="0"/>
    </xf>
    <xf numFmtId="177" fontId="43" fillId="0" borderId="73" xfId="67" applyNumberFormat="1" applyFont="1" applyBorder="1" applyAlignment="1" applyProtection="1">
      <alignment vertical="center" wrapText="1"/>
      <protection locked="0"/>
    </xf>
    <xf numFmtId="177" fontId="43" fillId="0" borderId="13" xfId="67" applyNumberFormat="1" applyFont="1" applyBorder="1" applyAlignment="1" applyProtection="1">
      <alignment vertical="center" wrapText="1"/>
      <protection locked="0"/>
    </xf>
    <xf numFmtId="177" fontId="43" fillId="0" borderId="19" xfId="67" applyNumberFormat="1" applyFont="1" applyBorder="1" applyAlignment="1" applyProtection="1">
      <alignment vertical="center" wrapText="1"/>
      <protection locked="0"/>
    </xf>
    <xf numFmtId="177" fontId="43" fillId="0" borderId="89" xfId="67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43" fontId="42" fillId="0" borderId="52" xfId="0" applyNumberFormat="1" applyFont="1" applyFill="1" applyBorder="1" applyAlignment="1" applyProtection="1">
      <alignment horizontal="center" vertical="center" wrapText="1"/>
      <protection/>
    </xf>
    <xf numFmtId="43" fontId="42" fillId="0" borderId="53" xfId="0" applyNumberFormat="1" applyFont="1" applyFill="1" applyBorder="1" applyAlignment="1" applyProtection="1">
      <alignment horizontal="center" vertical="center" wrapText="1"/>
      <protection/>
    </xf>
    <xf numFmtId="43" fontId="42" fillId="0" borderId="73" xfId="0" applyNumberFormat="1" applyFont="1" applyBorder="1" applyAlignment="1" applyProtection="1">
      <alignment horizontal="center" vertical="center" wrapText="1"/>
      <protection/>
    </xf>
    <xf numFmtId="43" fontId="42" fillId="0" borderId="11" xfId="0" applyNumberFormat="1" applyFont="1" applyBorder="1" applyAlignment="1" applyProtection="1">
      <alignment horizontal="center" vertical="center" wrapText="1"/>
      <protection/>
    </xf>
    <xf numFmtId="43" fontId="42" fillId="16" borderId="48" xfId="0" applyNumberFormat="1" applyFont="1" applyFill="1" applyBorder="1" applyAlignment="1" applyProtection="1">
      <alignment horizontal="center" vertical="center" wrapText="1"/>
      <protection/>
    </xf>
    <xf numFmtId="43" fontId="42" fillId="16" borderId="25" xfId="0" applyNumberFormat="1" applyFont="1" applyFill="1" applyBorder="1" applyAlignment="1" applyProtection="1">
      <alignment horizontal="center" vertical="center" wrapText="1"/>
      <protection/>
    </xf>
    <xf numFmtId="43" fontId="42" fillId="16" borderId="80" xfId="0" applyNumberFormat="1" applyFont="1" applyFill="1" applyBorder="1" applyAlignment="1" applyProtection="1">
      <alignment horizontal="center" vertical="center" wrapText="1"/>
      <protection/>
    </xf>
    <xf numFmtId="43" fontId="42" fillId="16" borderId="49" xfId="0" applyNumberFormat="1" applyFont="1" applyFill="1" applyBorder="1" applyAlignment="1" applyProtection="1">
      <alignment horizontal="center" vertical="center" wrapText="1"/>
      <protection/>
    </xf>
    <xf numFmtId="0" fontId="43" fillId="0" borderId="77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7" xfId="0" applyNumberFormat="1" applyFont="1" applyBorder="1" applyAlignment="1" applyProtection="1">
      <alignment vertical="center"/>
      <protection locked="0"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5" applyFont="1" applyFill="1" applyBorder="1" applyAlignment="1" applyProtection="1">
      <alignment horizontal="left" vertical="center" wrapText="1"/>
      <protection/>
    </xf>
    <xf numFmtId="0" fontId="43" fillId="0" borderId="52" xfId="65" applyFont="1" applyBorder="1" applyAlignment="1" applyProtection="1">
      <alignment vertical="center"/>
      <protection/>
    </xf>
    <xf numFmtId="0" fontId="42" fillId="0" borderId="52" xfId="65" applyFont="1" applyBorder="1" applyAlignment="1" applyProtection="1">
      <alignment horizontal="center" vertical="center"/>
      <protection/>
    </xf>
    <xf numFmtId="0" fontId="42" fillId="0" borderId="47" xfId="65" applyFont="1" applyBorder="1" applyAlignment="1" applyProtection="1">
      <alignment horizontal="center" vertical="center"/>
      <protection/>
    </xf>
    <xf numFmtId="0" fontId="42" fillId="0" borderId="90" xfId="65" applyFont="1" applyBorder="1" applyAlignment="1" applyProtection="1">
      <alignment vertical="center"/>
      <protection/>
    </xf>
    <xf numFmtId="0" fontId="43" fillId="0" borderId="59" xfId="65" applyFont="1" applyBorder="1" applyAlignment="1" applyProtection="1">
      <alignment vertical="center"/>
      <protection/>
    </xf>
    <xf numFmtId="4" fontId="43" fillId="28" borderId="91" xfId="65" applyNumberFormat="1" applyFont="1" applyFill="1" applyBorder="1" applyAlignment="1" applyProtection="1">
      <alignment horizontal="center" vertical="center"/>
      <protection/>
    </xf>
    <xf numFmtId="177" fontId="51" fillId="7" borderId="92" xfId="44" applyNumberFormat="1" applyFont="1" applyBorder="1" applyAlignment="1" applyProtection="1">
      <alignment horizontal="right" vertical="center"/>
      <protection/>
    </xf>
    <xf numFmtId="177" fontId="51" fillId="7" borderId="93" xfId="44" applyNumberFormat="1" applyFont="1" applyBorder="1" applyAlignment="1" applyProtection="1">
      <alignment horizontal="right" vertical="center"/>
      <protection/>
    </xf>
    <xf numFmtId="4" fontId="43" fillId="28" borderId="54" xfId="65" applyNumberFormat="1" applyFont="1" applyFill="1" applyBorder="1" applyAlignment="1" applyProtection="1">
      <alignment horizontal="center" vertical="center"/>
      <protection/>
    </xf>
    <xf numFmtId="4" fontId="43" fillId="28" borderId="59" xfId="65" applyNumberFormat="1" applyFont="1" applyFill="1" applyBorder="1" applyAlignment="1" applyProtection="1">
      <alignment horizontal="center" vertical="center"/>
      <protection/>
    </xf>
    <xf numFmtId="4" fontId="43" fillId="28" borderId="38" xfId="65" applyNumberFormat="1" applyFont="1" applyFill="1" applyBorder="1" applyAlignment="1" applyProtection="1">
      <alignment horizontal="center" vertical="center"/>
      <protection/>
    </xf>
    <xf numFmtId="0" fontId="43" fillId="0" borderId="11" xfId="65" applyFont="1" applyBorder="1" applyAlignment="1" applyProtection="1">
      <alignment vertical="center"/>
      <protection/>
    </xf>
    <xf numFmtId="0" fontId="43" fillId="0" borderId="66" xfId="65" applyFont="1" applyBorder="1" applyAlignment="1" applyProtection="1">
      <alignment vertical="center"/>
      <protection/>
    </xf>
    <xf numFmtId="0" fontId="42" fillId="0" borderId="50" xfId="65" applyFont="1" applyBorder="1" applyAlignment="1" applyProtection="1">
      <alignment vertical="center"/>
      <protection/>
    </xf>
    <xf numFmtId="0" fontId="43" fillId="0" borderId="94" xfId="65" applyFont="1" applyBorder="1" applyAlignment="1" applyProtection="1">
      <alignment vertical="center"/>
      <protection/>
    </xf>
    <xf numFmtId="4" fontId="43" fillId="28" borderId="50" xfId="65" applyNumberFormat="1" applyFont="1" applyFill="1" applyBorder="1" applyAlignment="1" applyProtection="1">
      <alignment horizontal="center" vertical="center"/>
      <protection/>
    </xf>
    <xf numFmtId="0" fontId="43" fillId="0" borderId="77" xfId="65" applyFont="1" applyBorder="1" applyAlignment="1" applyProtection="1">
      <alignment horizontal="left" vertical="center" wrapText="1"/>
      <protection/>
    </xf>
    <xf numFmtId="0" fontId="43" fillId="0" borderId="57" xfId="65" applyFont="1" applyBorder="1" applyAlignment="1" applyProtection="1">
      <alignment vertical="center"/>
      <protection/>
    </xf>
    <xf numFmtId="0" fontId="42" fillId="0" borderId="95" xfId="65" applyFont="1" applyBorder="1" applyAlignment="1" applyProtection="1">
      <alignment vertical="center"/>
      <protection/>
    </xf>
    <xf numFmtId="0" fontId="43" fillId="0" borderId="96" xfId="65" applyFont="1" applyBorder="1" applyAlignment="1" applyProtection="1">
      <alignment vertical="center"/>
      <protection/>
    </xf>
    <xf numFmtId="0" fontId="42" fillId="0" borderId="97" xfId="65" applyFont="1" applyFill="1" applyBorder="1" applyAlignment="1" applyProtection="1">
      <alignment horizontal="center" vertical="center"/>
      <protection/>
    </xf>
    <xf numFmtId="4" fontId="43" fillId="28" borderId="52" xfId="65" applyNumberFormat="1" applyFont="1" applyFill="1" applyBorder="1" applyAlignment="1" applyProtection="1">
      <alignment horizontal="center" vertical="center"/>
      <protection/>
    </xf>
    <xf numFmtId="177" fontId="52" fillId="7" borderId="98" xfId="44" applyNumberFormat="1" applyFont="1" applyBorder="1" applyAlignment="1" applyProtection="1">
      <alignment horizontal="center" vertical="center"/>
      <protection/>
    </xf>
    <xf numFmtId="4" fontId="43" fillId="28" borderId="53" xfId="65" applyNumberFormat="1" applyFont="1" applyFill="1" applyBorder="1" applyAlignment="1" applyProtection="1">
      <alignment horizontal="center" vertical="center"/>
      <protection/>
    </xf>
    <xf numFmtId="0" fontId="42" fillId="0" borderId="50" xfId="65" applyFont="1" applyBorder="1" applyAlignment="1" applyProtection="1">
      <alignment horizontal="center" vertical="center"/>
      <protection/>
    </xf>
    <xf numFmtId="4" fontId="43" fillId="29" borderId="52" xfId="65" applyNumberFormat="1" applyFont="1" applyFill="1" applyBorder="1" applyAlignment="1" applyProtection="1">
      <alignment horizontal="center" vertical="center"/>
      <protection/>
    </xf>
    <xf numFmtId="0" fontId="42" fillId="14" borderId="51" xfId="65" applyFont="1" applyFill="1" applyBorder="1" applyAlignment="1" applyProtection="1">
      <alignment horizontal="left" vertical="center" wrapText="1"/>
      <protection/>
    </xf>
    <xf numFmtId="177" fontId="42" fillId="0" borderId="53" xfId="65" applyNumberFormat="1" applyFont="1" applyBorder="1" applyAlignment="1" applyProtection="1">
      <alignment horizontal="right" vertical="center"/>
      <protection/>
    </xf>
    <xf numFmtId="0" fontId="43" fillId="0" borderId="99" xfId="65" applyFont="1" applyBorder="1" applyAlignment="1" applyProtection="1">
      <alignment vertical="center"/>
      <protection locked="0"/>
    </xf>
    <xf numFmtId="0" fontId="43" fillId="0" borderId="11" xfId="65" applyFont="1" applyBorder="1" applyAlignment="1" applyProtection="1">
      <alignment vertical="center"/>
      <protection locked="0"/>
    </xf>
    <xf numFmtId="0" fontId="43" fillId="0" borderId="66" xfId="65" applyFont="1" applyBorder="1" applyAlignment="1" applyProtection="1">
      <alignment vertical="center"/>
      <protection locked="0"/>
    </xf>
    <xf numFmtId="0" fontId="43" fillId="0" borderId="58" xfId="65" applyFont="1" applyBorder="1" applyAlignment="1" applyProtection="1">
      <alignment vertical="center"/>
      <protection locked="0"/>
    </xf>
    <xf numFmtId="0" fontId="43" fillId="0" borderId="59" xfId="65" applyFont="1" applyBorder="1" applyAlignment="1" applyProtection="1">
      <alignment vertical="center"/>
      <protection locked="0"/>
    </xf>
    <xf numFmtId="0" fontId="43" fillId="0" borderId="57" xfId="65" applyFont="1" applyBorder="1" applyAlignment="1" applyProtection="1">
      <alignment vertical="center"/>
      <protection locked="0"/>
    </xf>
    <xf numFmtId="1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73" xfId="65" applyFont="1" applyBorder="1" applyAlignment="1" applyProtection="1">
      <alignment vertical="center"/>
      <protection locked="0"/>
    </xf>
    <xf numFmtId="4" fontId="43" fillId="26" borderId="73" xfId="65" applyNumberFormat="1" applyFont="1" applyFill="1" applyBorder="1" applyAlignment="1" applyProtection="1">
      <alignment horizontal="center" vertical="center"/>
      <protection locked="0"/>
    </xf>
    <xf numFmtId="177" fontId="43" fillId="0" borderId="73" xfId="52" applyNumberFormat="1" applyFont="1" applyBorder="1" applyAlignment="1" applyProtection="1">
      <alignment horizontal="right" vertical="center"/>
      <protection locked="0"/>
    </xf>
    <xf numFmtId="0" fontId="42" fillId="0" borderId="68" xfId="65" applyFont="1" applyBorder="1" applyAlignment="1" applyProtection="1">
      <alignment horizontal="center" vertical="center"/>
      <protection/>
    </xf>
    <xf numFmtId="4" fontId="43" fillId="29" borderId="59" xfId="65" applyNumberFormat="1" applyFont="1" applyFill="1" applyBorder="1" applyAlignment="1" applyProtection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5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6" applyNumberFormat="1" applyFont="1" applyBorder="1" applyAlignment="1">
      <alignment horizontal="right" vertical="center"/>
      <protection/>
    </xf>
    <xf numFmtId="3" fontId="42" fillId="0" borderId="18" xfId="69" applyNumberFormat="1" applyFont="1" applyFill="1" applyBorder="1" applyAlignment="1">
      <alignment vertical="center" wrapText="1"/>
      <protection/>
    </xf>
    <xf numFmtId="3" fontId="43" fillId="0" borderId="18" xfId="69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4" applyNumberFormat="1" applyFont="1" applyFill="1" applyBorder="1" applyAlignment="1" applyProtection="1">
      <alignment horizontal="center" vertical="center" wrapText="1"/>
      <protection/>
    </xf>
    <xf numFmtId="177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66" xfId="65" applyFont="1" applyFill="1" applyBorder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vertical="center"/>
      <protection locked="0"/>
    </xf>
    <xf numFmtId="4" fontId="43" fillId="0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5" applyNumberFormat="1" applyFont="1" applyAlignment="1">
      <alignment vertical="center"/>
      <protection/>
    </xf>
    <xf numFmtId="0" fontId="43" fillId="0" borderId="70" xfId="55" applyFont="1" applyFill="1" applyBorder="1" applyAlignment="1">
      <alignment horizontal="left" vertical="center" wrapText="1"/>
      <protection/>
    </xf>
    <xf numFmtId="177" fontId="43" fillId="0" borderId="100" xfId="0" applyNumberFormat="1" applyFont="1" applyFill="1" applyBorder="1" applyAlignment="1">
      <alignment vertical="center"/>
    </xf>
    <xf numFmtId="0" fontId="43" fillId="0" borderId="101" xfId="55" applyFont="1" applyFill="1" applyBorder="1" applyAlignment="1">
      <alignment horizontal="left" vertical="center" wrapText="1"/>
      <protection/>
    </xf>
    <xf numFmtId="177" fontId="43" fillId="0" borderId="63" xfId="0" applyNumberFormat="1" applyFont="1" applyFill="1" applyBorder="1" applyAlignment="1">
      <alignment vertical="center"/>
    </xf>
    <xf numFmtId="0" fontId="43" fillId="0" borderId="71" xfId="55" applyFont="1" applyFill="1" applyBorder="1" applyAlignment="1">
      <alignment horizontal="left" vertical="center" wrapText="1"/>
      <protection/>
    </xf>
    <xf numFmtId="177" fontId="43" fillId="0" borderId="89" xfId="0" applyNumberFormat="1" applyFont="1" applyFill="1" applyBorder="1" applyAlignment="1">
      <alignment vertical="center"/>
    </xf>
    <xf numFmtId="0" fontId="43" fillId="0" borderId="68" xfId="0" applyFont="1" applyFill="1" applyBorder="1" applyAlignment="1">
      <alignment vertical="center"/>
    </xf>
    <xf numFmtId="177" fontId="43" fillId="0" borderId="68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3" fillId="0" borderId="61" xfId="65" applyNumberFormat="1" applyFont="1" applyFill="1" applyBorder="1" applyAlignment="1" applyProtection="1">
      <alignment horizontal="center" vertical="center"/>
      <protection locked="0"/>
    </xf>
    <xf numFmtId="0" fontId="43" fillId="0" borderId="25" xfId="65" applyNumberFormat="1" applyFont="1" applyFill="1" applyBorder="1" applyAlignment="1" applyProtection="1">
      <alignment horizontal="center" vertical="center"/>
      <protection locked="0"/>
    </xf>
    <xf numFmtId="177" fontId="42" fillId="0" borderId="102" xfId="65" applyNumberFormat="1" applyFont="1" applyFill="1" applyBorder="1" applyAlignment="1" applyProtection="1">
      <alignment horizontal="right" vertical="center"/>
      <protection/>
    </xf>
    <xf numFmtId="177" fontId="42" fillId="0" borderId="53" xfId="65" applyNumberFormat="1" applyFont="1" applyFill="1" applyBorder="1" applyAlignment="1" applyProtection="1">
      <alignment horizontal="right" vertical="center"/>
      <protection/>
    </xf>
    <xf numFmtId="177" fontId="42" fillId="0" borderId="96" xfId="65" applyNumberFormat="1" applyFont="1" applyFill="1" applyBorder="1" applyAlignment="1" applyProtection="1">
      <alignment vertical="center"/>
      <protection/>
    </xf>
    <xf numFmtId="177" fontId="42" fillId="0" borderId="59" xfId="65" applyNumberFormat="1" applyFont="1" applyFill="1" applyBorder="1" applyAlignment="1" applyProtection="1">
      <alignment horizontal="right" vertical="center"/>
      <protection/>
    </xf>
    <xf numFmtId="0" fontId="43" fillId="0" borderId="65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43" fontId="42" fillId="0" borderId="13" xfId="0" applyNumberFormat="1" applyFont="1" applyBorder="1" applyAlignment="1" applyProtection="1">
      <alignment horizontal="center" vertical="center" wrapText="1"/>
      <protection/>
    </xf>
    <xf numFmtId="43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1" xfId="66" applyFont="1" applyFill="1" applyBorder="1" applyAlignment="1">
      <alignment vertical="center" wrapText="1"/>
      <protection/>
    </xf>
    <xf numFmtId="4" fontId="43" fillId="0" borderId="64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/>
    </xf>
    <xf numFmtId="4" fontId="0" fillId="0" borderId="69" xfId="0" applyNumberFormat="1" applyBorder="1" applyAlignment="1">
      <alignment/>
    </xf>
    <xf numFmtId="4" fontId="42" fillId="0" borderId="50" xfId="66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2" fontId="58" fillId="0" borderId="15" xfId="63" applyNumberFormat="1" applyFont="1" applyFill="1" applyBorder="1" applyAlignment="1">
      <alignment horizontal="left" vertical="center"/>
      <protection/>
    </xf>
    <xf numFmtId="2" fontId="58" fillId="0" borderId="0" xfId="63" applyNumberFormat="1" applyFont="1" applyFill="1" applyBorder="1" applyAlignment="1">
      <alignment horizontal="left" vertical="center"/>
      <protection/>
    </xf>
    <xf numFmtId="168" fontId="69" fillId="0" borderId="15" xfId="63" applyNumberFormat="1" applyFont="1" applyFill="1" applyBorder="1" applyAlignment="1">
      <alignment horizontal="left" vertical="center"/>
      <protection/>
    </xf>
    <xf numFmtId="0" fontId="70" fillId="0" borderId="15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2" fontId="70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70" fillId="0" borderId="0" xfId="0" applyNumberFormat="1" applyFont="1" applyBorder="1" applyAlignment="1">
      <alignment horizontal="center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71" fillId="8" borderId="13" xfId="59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4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9" applyNumberFormat="1" applyFont="1" applyFill="1" applyBorder="1" applyAlignment="1">
      <alignment vertical="center"/>
      <protection/>
    </xf>
    <xf numFmtId="3" fontId="43" fillId="15" borderId="0" xfId="69" applyNumberFormat="1" applyFont="1" applyFill="1" applyBorder="1" applyAlignment="1">
      <alignment vertical="center"/>
      <protection/>
    </xf>
    <xf numFmtId="3" fontId="43" fillId="7" borderId="0" xfId="69" applyNumberFormat="1" applyFont="1" applyFill="1" applyBorder="1" applyAlignment="1">
      <alignment vertical="center"/>
      <protection/>
    </xf>
    <xf numFmtId="3" fontId="43" fillId="22" borderId="0" xfId="69" applyNumberFormat="1" applyFont="1" applyFill="1" applyBorder="1" applyAlignment="1">
      <alignment vertical="center"/>
      <protection/>
    </xf>
    <xf numFmtId="3" fontId="54" fillId="15" borderId="0" xfId="69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1" xfId="52" applyNumberFormat="1" applyFont="1" applyBorder="1" applyAlignment="1" applyProtection="1">
      <alignment vertical="center"/>
      <protection locked="0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103" xfId="52" applyNumberFormat="1" applyFont="1" applyBorder="1" applyAlignment="1" applyProtection="1">
      <alignment vertical="center"/>
      <protection locked="0"/>
    </xf>
    <xf numFmtId="177" fontId="43" fillId="0" borderId="104" xfId="52" applyNumberFormat="1" applyFont="1" applyBorder="1" applyAlignment="1" applyProtection="1">
      <alignment vertical="center"/>
      <protection locked="0"/>
    </xf>
    <xf numFmtId="0" fontId="43" fillId="0" borderId="61" xfId="56" applyFont="1" applyBorder="1" applyAlignment="1">
      <alignment vertical="center"/>
      <protection/>
    </xf>
    <xf numFmtId="0" fontId="43" fillId="0" borderId="103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2" xfId="56" applyFont="1" applyBorder="1" applyAlignment="1">
      <alignment horizontal="center" vertical="center" wrapText="1"/>
      <protection/>
    </xf>
    <xf numFmtId="177" fontId="43" fillId="0" borderId="105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69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80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8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79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 wrapText="1"/>
    </xf>
    <xf numFmtId="0" fontId="76" fillId="0" borderId="80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6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0" xfId="0" applyFont="1" applyAlignment="1">
      <alignment/>
    </xf>
    <xf numFmtId="0" fontId="76" fillId="0" borderId="80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80" fillId="0" borderId="65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5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76" fillId="0" borderId="106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81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8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0" fillId="0" borderId="14" xfId="0" applyBorder="1" applyAlignment="1">
      <alignment/>
    </xf>
    <xf numFmtId="0" fontId="28" fillId="0" borderId="65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48" xfId="0" applyFont="1" applyBorder="1" applyAlignment="1">
      <alignment/>
    </xf>
    <xf numFmtId="0" fontId="0" fillId="0" borderId="25" xfId="0" applyBorder="1" applyAlignment="1">
      <alignment/>
    </xf>
    <xf numFmtId="0" fontId="28" fillId="0" borderId="58" xfId="0" applyFont="1" applyBorder="1" applyAlignment="1">
      <alignment/>
    </xf>
    <xf numFmtId="0" fontId="0" fillId="0" borderId="20" xfId="0" applyBorder="1" applyAlignment="1">
      <alignment/>
    </xf>
    <xf numFmtId="0" fontId="28" fillId="0" borderId="51" xfId="0" applyFont="1" applyBorder="1" applyAlignment="1">
      <alignment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6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center" vertical="center"/>
      <protection locked="0"/>
    </xf>
    <xf numFmtId="4" fontId="42" fillId="0" borderId="26" xfId="56" applyNumberFormat="1" applyFont="1" applyBorder="1" applyAlignment="1">
      <alignment horizontal="center" vertical="center" wrapText="1"/>
      <protection/>
    </xf>
    <xf numFmtId="0" fontId="82" fillId="0" borderId="15" xfId="0" applyFont="1" applyBorder="1" applyAlignment="1">
      <alignment vertical="center"/>
    </xf>
    <xf numFmtId="10" fontId="82" fillId="0" borderId="0" xfId="72" applyNumberFormat="1" applyFont="1" applyBorder="1" applyAlignment="1">
      <alignment horizontal="right" vertical="center"/>
    </xf>
    <xf numFmtId="1" fontId="82" fillId="0" borderId="105" xfId="0" applyNumberFormat="1" applyFont="1" applyBorder="1" applyAlignment="1">
      <alignment horizontal="right" vertical="center"/>
    </xf>
    <xf numFmtId="4" fontId="82" fillId="0" borderId="105" xfId="0" applyNumberFormat="1" applyFont="1" applyBorder="1" applyAlignment="1">
      <alignment vertical="center"/>
    </xf>
    <xf numFmtId="10" fontId="82" fillId="0" borderId="0" xfId="72" applyNumberFormat="1" applyFont="1" applyBorder="1" applyAlignment="1">
      <alignment vertical="center"/>
    </xf>
    <xf numFmtId="1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9" fontId="82" fillId="0" borderId="0" xfId="7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2" fillId="0" borderId="0" xfId="0" applyFont="1" applyBorder="1" applyAlignment="1">
      <alignment vertical="center"/>
    </xf>
    <xf numFmtId="9" fontId="0" fillId="0" borderId="22" xfId="72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0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4" fontId="0" fillId="30" borderId="50" xfId="0" applyNumberFormat="1" applyFill="1" applyBorder="1" applyAlignment="1">
      <alignment horizontal="center"/>
    </xf>
    <xf numFmtId="0" fontId="88" fillId="0" borderId="0" xfId="0" applyFont="1" applyBorder="1" applyAlignment="1">
      <alignment/>
    </xf>
    <xf numFmtId="4" fontId="43" fillId="0" borderId="15" xfId="0" applyNumberFormat="1" applyFont="1" applyBorder="1" applyAlignment="1">
      <alignment vertical="center"/>
    </xf>
    <xf numFmtId="10" fontId="0" fillId="27" borderId="12" xfId="72" applyNumberFormat="1" applyFont="1" applyFill="1" applyBorder="1" applyAlignment="1">
      <alignment/>
    </xf>
    <xf numFmtId="10" fontId="0" fillId="0" borderId="12" xfId="72" applyNumberFormat="1" applyFont="1" applyBorder="1" applyAlignment="1">
      <alignment/>
    </xf>
    <xf numFmtId="0" fontId="0" fillId="0" borderId="0" xfId="0" applyFont="1" applyAlignment="1">
      <alignment/>
    </xf>
    <xf numFmtId="4" fontId="42" fillId="0" borderId="26" xfId="56" applyNumberFormat="1" applyFont="1" applyBorder="1" applyAlignment="1">
      <alignment horizontal="right" vertical="center" wrapText="1"/>
      <protection/>
    </xf>
    <xf numFmtId="4" fontId="42" fillId="0" borderId="27" xfId="56" applyNumberFormat="1" applyFont="1" applyBorder="1" applyAlignment="1">
      <alignment horizontal="center" vertical="center" wrapText="1"/>
      <protection/>
    </xf>
    <xf numFmtId="4" fontId="42" fillId="0" borderId="99" xfId="56" applyNumberFormat="1" applyFont="1" applyBorder="1" applyAlignment="1">
      <alignment horizontal="right" vertical="center" wrapText="1"/>
      <protection/>
    </xf>
    <xf numFmtId="4" fontId="42" fillId="0" borderId="99" xfId="56" applyNumberFormat="1" applyFont="1" applyBorder="1" applyAlignment="1">
      <alignment horizontal="center" vertical="center" wrapText="1"/>
      <protection/>
    </xf>
    <xf numFmtId="4" fontId="43" fillId="0" borderId="26" xfId="56" applyNumberFormat="1" applyFont="1" applyBorder="1" applyAlignment="1">
      <alignment horizontal="right" vertical="center" wrapText="1"/>
      <protection/>
    </xf>
    <xf numFmtId="4" fontId="43" fillId="0" borderId="99" xfId="56" applyNumberFormat="1" applyFont="1" applyBorder="1" applyAlignment="1">
      <alignment horizontal="right" vertical="center" wrapText="1"/>
      <protection/>
    </xf>
    <xf numFmtId="4" fontId="42" fillId="0" borderId="19" xfId="56" applyNumberFormat="1" applyFont="1" applyBorder="1" applyAlignment="1">
      <alignment horizontal="right" vertical="center" wrapText="1"/>
      <protection/>
    </xf>
    <xf numFmtId="4" fontId="42" fillId="0" borderId="20" xfId="52" applyNumberFormat="1" applyFont="1" applyBorder="1" applyAlignment="1">
      <alignment vertical="center"/>
    </xf>
    <xf numFmtId="4" fontId="42" fillId="0" borderId="58" xfId="56" applyNumberFormat="1" applyFont="1" applyBorder="1" applyAlignment="1">
      <alignment horizontal="right" vertical="center" wrapText="1"/>
      <protection/>
    </xf>
    <xf numFmtId="4" fontId="42" fillId="0" borderId="20" xfId="56" applyNumberFormat="1" applyFont="1" applyBorder="1" applyAlignment="1">
      <alignment vertical="center"/>
      <protection/>
    </xf>
    <xf numFmtId="0" fontId="89" fillId="0" borderId="0" xfId="56" applyFont="1" applyAlignment="1">
      <alignment vertical="center"/>
      <protection/>
    </xf>
    <xf numFmtId="0" fontId="90" fillId="0" borderId="0" xfId="56" applyFont="1" applyAlignment="1">
      <alignment vertical="center"/>
      <protection/>
    </xf>
    <xf numFmtId="4" fontId="1" fillId="31" borderId="45" xfId="0" applyNumberFormat="1" applyFont="1" applyFill="1" applyBorder="1" applyAlignment="1">
      <alignment/>
    </xf>
    <xf numFmtId="0" fontId="1" fillId="31" borderId="47" xfId="0" applyFont="1" applyFill="1" applyBorder="1" applyAlignment="1">
      <alignment/>
    </xf>
    <xf numFmtId="3" fontId="91" fillId="0" borderId="0" xfId="69" applyNumberFormat="1" applyFont="1" applyBorder="1" applyAlignment="1">
      <alignment vertical="center"/>
      <protection/>
    </xf>
    <xf numFmtId="0" fontId="92" fillId="0" borderId="0" xfId="0" applyFont="1" applyAlignment="1">
      <alignment vertical="center"/>
    </xf>
    <xf numFmtId="177" fontId="43" fillId="0" borderId="17" xfId="66" applyNumberFormat="1" applyFont="1" applyFill="1" applyBorder="1" applyAlignment="1">
      <alignment vertical="center" wrapText="1"/>
      <protection/>
    </xf>
    <xf numFmtId="177" fontId="43" fillId="0" borderId="17" xfId="66" applyNumberFormat="1" applyFont="1" applyBorder="1" applyAlignment="1">
      <alignment vertical="center"/>
      <protection/>
    </xf>
    <xf numFmtId="0" fontId="80" fillId="0" borderId="65" xfId="0" applyFont="1" applyBorder="1" applyAlignment="1">
      <alignment horizontal="center"/>
    </xf>
    <xf numFmtId="0" fontId="80" fillId="0" borderId="17" xfId="0" applyFont="1" applyBorder="1" applyAlignment="1">
      <alignment horizontal="right"/>
    </xf>
    <xf numFmtId="4" fontId="0" fillId="0" borderId="107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77" fillId="0" borderId="17" xfId="0" applyNumberFormat="1" applyFont="1" applyBorder="1" applyAlignment="1">
      <alignment horizontal="right"/>
    </xf>
    <xf numFmtId="4" fontId="80" fillId="0" borderId="17" xfId="0" applyNumberFormat="1" applyFont="1" applyBorder="1" applyAlignment="1">
      <alignment horizontal="right"/>
    </xf>
    <xf numFmtId="4" fontId="0" fillId="0" borderId="107" xfId="55" applyNumberFormat="1" applyFont="1" applyBorder="1" applyAlignment="1">
      <alignment horizontal="right"/>
      <protection/>
    </xf>
    <xf numFmtId="4" fontId="80" fillId="0" borderId="17" xfId="0" applyNumberFormat="1" applyFont="1" applyBorder="1" applyAlignment="1">
      <alignment/>
    </xf>
    <xf numFmtId="0" fontId="77" fillId="0" borderId="17" xfId="0" applyFont="1" applyBorder="1" applyAlignment="1">
      <alignment horizontal="left"/>
    </xf>
    <xf numFmtId="4" fontId="80" fillId="0" borderId="0" xfId="0" applyNumberFormat="1" applyFont="1" applyAlignment="1">
      <alignment/>
    </xf>
    <xf numFmtId="0" fontId="77" fillId="0" borderId="79" xfId="0" applyFont="1" applyBorder="1" applyAlignment="1">
      <alignment horizontal="center" vertical="center" wrapText="1"/>
    </xf>
    <xf numFmtId="0" fontId="77" fillId="0" borderId="65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28" fillId="0" borderId="52" xfId="0" applyNumberFormat="1" applyFont="1" applyBorder="1" applyAlignment="1">
      <alignment horizontal="center"/>
    </xf>
    <xf numFmtId="4" fontId="28" fillId="0" borderId="53" xfId="0" applyNumberFormat="1" applyFont="1" applyBorder="1" applyAlignment="1">
      <alignment horizontal="center"/>
    </xf>
    <xf numFmtId="0" fontId="43" fillId="0" borderId="0" xfId="60" applyFont="1" applyAlignment="1">
      <alignment horizontal="right" vertical="center"/>
      <protection/>
    </xf>
    <xf numFmtId="177" fontId="43" fillId="0" borderId="17" xfId="45" applyNumberFormat="1" applyFont="1" applyFill="1" applyBorder="1" applyAlignment="1" applyProtection="1">
      <alignment vertical="center" wrapText="1"/>
      <protection/>
    </xf>
    <xf numFmtId="4" fontId="43" fillId="0" borderId="57" xfId="0" applyNumberFormat="1" applyFont="1" applyBorder="1" applyAlignment="1">
      <alignment vertical="center"/>
    </xf>
    <xf numFmtId="0" fontId="43" fillId="0" borderId="0" xfId="0" applyFont="1" applyAlignment="1" quotePrefix="1">
      <alignment horizontal="left" vertical="center"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49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4" fontId="83" fillId="0" borderId="0" xfId="0" applyNumberFormat="1" applyFont="1" applyAlignment="1">
      <alignment vertical="center"/>
    </xf>
    <xf numFmtId="1" fontId="47" fillId="8" borderId="0" xfId="60" applyNumberFormat="1" applyFont="1" applyFill="1" applyBorder="1" applyAlignment="1" applyProtection="1">
      <alignment horizontal="center" vertical="center"/>
      <protection/>
    </xf>
    <xf numFmtId="2" fontId="47" fillId="8" borderId="0" xfId="60" applyNumberFormat="1" applyFont="1" applyFill="1" applyBorder="1" applyAlignment="1" applyProtection="1">
      <alignment horizontal="center" vertical="center" wrapText="1"/>
      <protection/>
    </xf>
    <xf numFmtId="0" fontId="42" fillId="0" borderId="0" xfId="65" applyFont="1" applyBorder="1" applyAlignment="1" applyProtection="1">
      <alignment horizontal="center" vertical="center"/>
      <protection/>
    </xf>
    <xf numFmtId="4" fontId="43" fillId="28" borderId="0" xfId="65" applyNumberFormat="1" applyFont="1" applyFill="1" applyBorder="1" applyAlignment="1" applyProtection="1">
      <alignment horizontal="center" vertical="center"/>
      <protection/>
    </xf>
    <xf numFmtId="0" fontId="43" fillId="0" borderId="0" xfId="65" applyNumberFormat="1" applyFont="1" applyFill="1" applyBorder="1" applyAlignment="1" applyProtection="1">
      <alignment vertical="center"/>
      <protection locked="0"/>
    </xf>
    <xf numFmtId="49" fontId="43" fillId="0" borderId="0" xfId="65" applyNumberFormat="1" applyFont="1" applyFill="1" applyBorder="1" applyAlignment="1" applyProtection="1">
      <alignment horizontal="center" vertical="center"/>
      <protection locked="0"/>
    </xf>
    <xf numFmtId="0" fontId="43" fillId="0" borderId="0" xfId="65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65" applyFont="1" applyAlignment="1">
      <alignment vertical="center"/>
      <protection/>
    </xf>
    <xf numFmtId="4" fontId="3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4" fontId="93" fillId="32" borderId="0" xfId="0" applyNumberFormat="1" applyFont="1" applyFill="1" applyAlignment="1">
      <alignment vertical="center"/>
    </xf>
    <xf numFmtId="3" fontId="93" fillId="32" borderId="0" xfId="65" applyNumberFormat="1" applyFont="1" applyFill="1" applyAlignment="1">
      <alignment vertical="center"/>
      <protection/>
    </xf>
    <xf numFmtId="4" fontId="83" fillId="0" borderId="0" xfId="0" applyNumberFormat="1" applyFont="1" applyFill="1" applyAlignment="1">
      <alignment vertical="center"/>
    </xf>
    <xf numFmtId="4" fontId="43" fillId="0" borderId="0" xfId="0" applyNumberFormat="1" applyFont="1" applyAlignment="1" applyProtection="1">
      <alignment vertical="center"/>
      <protection/>
    </xf>
    <xf numFmtId="4" fontId="80" fillId="0" borderId="17" xfId="0" applyNumberFormat="1" applyFont="1" applyFill="1" applyBorder="1" applyAlignment="1">
      <alignment/>
    </xf>
    <xf numFmtId="0" fontId="80" fillId="0" borderId="17" xfId="0" applyFont="1" applyFill="1" applyBorder="1" applyAlignment="1">
      <alignment/>
    </xf>
    <xf numFmtId="4" fontId="76" fillId="0" borderId="17" xfId="0" applyNumberFormat="1" applyFont="1" applyFill="1" applyBorder="1" applyAlignment="1">
      <alignment horizontal="center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64" fillId="0" borderId="65" xfId="0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Fill="1" applyBorder="1" applyAlignment="1" applyProtection="1">
      <alignment horizontal="right" vertical="center"/>
      <protection locked="0"/>
    </xf>
    <xf numFmtId="179" fontId="43" fillId="0" borderId="0" xfId="0" applyNumberFormat="1" applyFont="1" applyAlignment="1">
      <alignment vertical="center"/>
    </xf>
    <xf numFmtId="177" fontId="42" fillId="0" borderId="38" xfId="65" applyNumberFormat="1" applyFont="1" applyFill="1" applyBorder="1" applyAlignment="1" applyProtection="1">
      <alignment horizontal="right" vertical="center"/>
      <protection/>
    </xf>
    <xf numFmtId="0" fontId="43" fillId="0" borderId="17" xfId="65" applyFont="1" applyBorder="1" applyAlignment="1" applyProtection="1">
      <alignment vertical="center"/>
      <protection locked="0"/>
    </xf>
    <xf numFmtId="0" fontId="43" fillId="0" borderId="17" xfId="65" applyNumberFormat="1" applyFont="1" applyFill="1" applyBorder="1" applyAlignment="1" applyProtection="1">
      <alignment vertical="center"/>
      <protection locked="0"/>
    </xf>
    <xf numFmtId="0" fontId="43" fillId="0" borderId="72" xfId="65" applyFont="1" applyBorder="1" applyAlignment="1" applyProtection="1">
      <alignment vertical="center"/>
      <protection locked="0"/>
    </xf>
    <xf numFmtId="177" fontId="43" fillId="0" borderId="13" xfId="52" applyNumberFormat="1" applyFont="1" applyFill="1" applyBorder="1" applyAlignment="1" applyProtection="1">
      <alignment horizontal="right" vertical="center"/>
      <protection locked="0"/>
    </xf>
    <xf numFmtId="0" fontId="43" fillId="0" borderId="65" xfId="65" applyFont="1" applyBorder="1" applyAlignment="1" applyProtection="1">
      <alignment vertical="center"/>
      <protection locked="0"/>
    </xf>
    <xf numFmtId="177" fontId="43" fillId="0" borderId="12" xfId="52" applyNumberFormat="1" applyFont="1" applyBorder="1" applyAlignment="1" applyProtection="1">
      <alignment horizontal="right" vertical="center"/>
      <protection locked="0"/>
    </xf>
    <xf numFmtId="179" fontId="42" fillId="0" borderId="12" xfId="50" applyNumberFormat="1" applyFont="1" applyFill="1" applyBorder="1" applyAlignment="1" applyProtection="1">
      <alignment horizontal="right" vertical="center"/>
      <protection locked="0"/>
    </xf>
    <xf numFmtId="0" fontId="31" fillId="0" borderId="72" xfId="0" applyFont="1" applyFill="1" applyBorder="1" applyAlignment="1" applyProtection="1">
      <alignment horizontal="center" vertical="center"/>
      <protection locked="0"/>
    </xf>
    <xf numFmtId="0" fontId="31" fillId="0" borderId="73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43" fillId="0" borderId="65" xfId="65" applyNumberFormat="1" applyFont="1" applyFill="1" applyBorder="1" applyAlignment="1" applyProtection="1">
      <alignment vertical="center"/>
      <protection locked="0"/>
    </xf>
    <xf numFmtId="0" fontId="43" fillId="0" borderId="12" xfId="65" applyNumberFormat="1" applyFont="1" applyFill="1" applyBorder="1" applyAlignment="1" applyProtection="1">
      <alignment vertical="center"/>
      <protection locked="0"/>
    </xf>
    <xf numFmtId="0" fontId="43" fillId="0" borderId="58" xfId="65" applyNumberFormat="1" applyFont="1" applyFill="1" applyBorder="1" applyAlignment="1" applyProtection="1">
      <alignment vertical="center"/>
      <protection locked="0"/>
    </xf>
    <xf numFmtId="0" fontId="43" fillId="0" borderId="19" xfId="65" applyNumberFormat="1" applyFont="1" applyFill="1" applyBorder="1" applyAlignment="1" applyProtection="1">
      <alignment vertical="center"/>
      <protection locked="0"/>
    </xf>
    <xf numFmtId="177" fontId="43" fillId="0" borderId="0" xfId="0" applyNumberFormat="1" applyFont="1" applyAlignment="1" applyProtection="1">
      <alignment vertical="center"/>
      <protection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4" fontId="42" fillId="33" borderId="12" xfId="0" applyNumberFormat="1" applyFont="1" applyFill="1" applyBorder="1" applyAlignment="1">
      <alignment vertical="center"/>
    </xf>
    <xf numFmtId="4" fontId="43" fillId="33" borderId="17" xfId="0" applyNumberFormat="1" applyFont="1" applyFill="1" applyBorder="1" applyAlignment="1" applyProtection="1">
      <alignment horizontal="left" vertical="center"/>
      <protection locked="0"/>
    </xf>
    <xf numFmtId="4" fontId="43" fillId="33" borderId="17" xfId="0" applyNumberFormat="1" applyFont="1" applyFill="1" applyBorder="1" applyAlignment="1" applyProtection="1">
      <alignment horizontal="right" vertical="center"/>
      <protection locked="0"/>
    </xf>
    <xf numFmtId="4" fontId="43" fillId="33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4" applyNumberFormat="1" applyFont="1" applyFill="1" applyBorder="1" applyAlignment="1" applyProtection="1">
      <alignment horizontal="center" vertical="center" wrapText="1"/>
      <protection/>
    </xf>
    <xf numFmtId="177" fontId="0" fillId="8" borderId="27" xfId="64" applyNumberFormat="1" applyFont="1" applyFill="1" applyBorder="1" applyAlignment="1">
      <alignment horizontal="center" vertical="center" wrapText="1"/>
      <protection/>
    </xf>
    <xf numFmtId="177" fontId="0" fillId="8" borderId="14" xfId="64" applyNumberFormat="1" applyFont="1" applyFill="1" applyBorder="1" applyAlignment="1">
      <alignment horizontal="center" vertical="center" wrapText="1"/>
      <protection/>
    </xf>
    <xf numFmtId="177" fontId="1" fillId="8" borderId="108" xfId="0" applyNumberFormat="1" applyFont="1" applyFill="1" applyBorder="1" applyAlignment="1" applyProtection="1">
      <alignment horizontal="center" vertical="center"/>
      <protection/>
    </xf>
    <xf numFmtId="177" fontId="0" fillId="8" borderId="109" xfId="0" applyNumberFormat="1" applyFont="1" applyFill="1" applyBorder="1" applyAlignment="1">
      <alignment horizontal="center" vertical="center"/>
    </xf>
    <xf numFmtId="177" fontId="0" fillId="8" borderId="110" xfId="0" applyNumberFormat="1" applyFont="1" applyFill="1" applyBorder="1" applyAlignment="1">
      <alignment horizontal="center" vertical="center"/>
    </xf>
    <xf numFmtId="3" fontId="1" fillId="0" borderId="111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12" xfId="0" applyNumberFormat="1" applyFont="1" applyFill="1" applyBorder="1" applyAlignment="1">
      <alignment vertical="center"/>
    </xf>
    <xf numFmtId="177" fontId="0" fillId="0" borderId="113" xfId="0" applyNumberFormat="1" applyFont="1" applyBorder="1" applyAlignment="1">
      <alignment vertical="center"/>
    </xf>
    <xf numFmtId="0" fontId="8" fillId="25" borderId="72" xfId="62" applyFont="1" applyFill="1" applyBorder="1" applyAlignment="1">
      <alignment horizontal="center" vertical="center" wrapText="1"/>
      <protection/>
    </xf>
    <xf numFmtId="0" fontId="8" fillId="25" borderId="73" xfId="62" applyFont="1" applyFill="1" applyBorder="1" applyAlignment="1">
      <alignment horizontal="center" vertical="center" wrapText="1"/>
      <protection/>
    </xf>
    <xf numFmtId="2" fontId="66" fillId="8" borderId="65" xfId="62" applyNumberFormat="1" applyFont="1" applyFill="1" applyBorder="1" applyAlignment="1">
      <alignment horizontal="left" vertical="center"/>
      <protection/>
    </xf>
    <xf numFmtId="2" fontId="66" fillId="8" borderId="17" xfId="62" applyNumberFormat="1" applyFont="1" applyFill="1" applyBorder="1" applyAlignment="1">
      <alignment horizontal="left" vertical="center"/>
      <protection/>
    </xf>
    <xf numFmtId="2" fontId="66" fillId="8" borderId="12" xfId="62" applyNumberFormat="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3" applyNumberFormat="1" applyFont="1" applyFill="1" applyBorder="1" applyAlignment="1">
      <alignment horizontal="left" vertical="center"/>
      <protection/>
    </xf>
    <xf numFmtId="2" fontId="60" fillId="8" borderId="0" xfId="63" applyNumberFormat="1" applyFont="1" applyFill="1" applyBorder="1" applyAlignment="1">
      <alignment horizontal="left" vertical="center"/>
      <protection/>
    </xf>
    <xf numFmtId="2" fontId="60" fillId="8" borderId="22" xfId="63" applyNumberFormat="1" applyFont="1" applyFill="1" applyBorder="1" applyAlignment="1">
      <alignment horizontal="left" vertical="center"/>
      <protection/>
    </xf>
    <xf numFmtId="177" fontId="42" fillId="8" borderId="108" xfId="0" applyNumberFormat="1" applyFont="1" applyFill="1" applyBorder="1" applyAlignment="1" applyProtection="1">
      <alignment horizontal="center" vertical="center"/>
      <protection/>
    </xf>
    <xf numFmtId="177" fontId="43" fillId="8" borderId="114" xfId="0" applyNumberFormat="1" applyFont="1" applyFill="1" applyBorder="1" applyAlignment="1">
      <alignment horizontal="center" vertical="center"/>
    </xf>
    <xf numFmtId="177" fontId="42" fillId="8" borderId="49" xfId="64" applyNumberFormat="1" applyFont="1" applyFill="1" applyBorder="1" applyAlignment="1" applyProtection="1">
      <alignment horizontal="center" vertical="center" wrapText="1"/>
      <protection/>
    </xf>
    <xf numFmtId="177" fontId="43" fillId="8" borderId="38" xfId="6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09" xfId="0" applyNumberFormat="1" applyFont="1" applyFill="1" applyBorder="1" applyAlignment="1">
      <alignment horizontal="center" vertical="center"/>
    </xf>
    <xf numFmtId="177" fontId="42" fillId="8" borderId="13" xfId="64" applyNumberFormat="1" applyFont="1" applyFill="1" applyBorder="1" applyAlignment="1" applyProtection="1">
      <alignment horizontal="center" vertical="center" wrapText="1"/>
      <protection/>
    </xf>
    <xf numFmtId="177" fontId="43" fillId="8" borderId="20" xfId="64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2" fontId="60" fillId="0" borderId="48" xfId="60" applyNumberFormat="1" applyFont="1" applyFill="1" applyBorder="1" applyAlignment="1">
      <alignment horizontal="center" vertical="center"/>
      <protection/>
    </xf>
    <xf numFmtId="2" fontId="60" fillId="0" borderId="17" xfId="60" applyNumberFormat="1" applyFont="1" applyFill="1" applyBorder="1" applyAlignment="1">
      <alignment horizontal="center" vertical="center"/>
      <protection/>
    </xf>
    <xf numFmtId="2" fontId="59" fillId="8" borderId="18" xfId="60" applyNumberFormat="1" applyFont="1" applyFill="1" applyBorder="1" applyAlignment="1" applyProtection="1">
      <alignment horizontal="center" vertical="center"/>
      <protection locked="0"/>
    </xf>
    <xf numFmtId="2" fontId="59" fillId="8" borderId="104" xfId="60" applyNumberFormat="1" applyFont="1" applyFill="1" applyBorder="1" applyAlignment="1" applyProtection="1">
      <alignment horizontal="center" vertical="center"/>
      <protection locked="0"/>
    </xf>
    <xf numFmtId="2" fontId="59" fillId="8" borderId="64" xfId="60" applyNumberFormat="1" applyFont="1" applyFill="1" applyBorder="1" applyAlignment="1" applyProtection="1">
      <alignment horizontal="center" vertical="center"/>
      <protection locked="0"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104" xfId="60" applyFont="1" applyFill="1" applyBorder="1" applyAlignment="1">
      <alignment horizontal="center" vertical="center" wrapText="1"/>
      <protection/>
    </xf>
    <xf numFmtId="0" fontId="58" fillId="25" borderId="64" xfId="60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60" fillId="8" borderId="18" xfId="59" applyNumberFormat="1" applyFont="1" applyFill="1" applyBorder="1" applyAlignment="1">
      <alignment horizontal="center" vertical="center" wrapText="1"/>
      <protection/>
    </xf>
    <xf numFmtId="2" fontId="60" fillId="8" borderId="104" xfId="59" applyNumberFormat="1" applyFont="1" applyFill="1" applyBorder="1" applyAlignment="1">
      <alignment horizontal="center" vertical="center" wrapText="1"/>
      <protection/>
    </xf>
    <xf numFmtId="2" fontId="60" fillId="8" borderId="64" xfId="59" applyNumberFormat="1" applyFont="1" applyFill="1" applyBorder="1" applyAlignment="1">
      <alignment horizontal="center" vertical="center" wrapText="1"/>
      <protection/>
    </xf>
    <xf numFmtId="168" fontId="60" fillId="0" borderId="17" xfId="60" applyNumberFormat="1" applyFont="1" applyFill="1" applyBorder="1" applyAlignment="1">
      <alignment horizontal="center" vertical="center" wrapText="1"/>
      <protection/>
    </xf>
    <xf numFmtId="2" fontId="58" fillId="8" borderId="18" xfId="60" applyNumberFormat="1" applyFont="1" applyFill="1" applyBorder="1" applyAlignment="1">
      <alignment horizontal="center" vertical="center"/>
      <protection/>
    </xf>
    <xf numFmtId="2" fontId="58" fillId="8" borderId="104" xfId="60" applyNumberFormat="1" applyFont="1" applyFill="1" applyBorder="1" applyAlignment="1">
      <alignment horizontal="center" vertical="center"/>
      <protection/>
    </xf>
    <xf numFmtId="3" fontId="42" fillId="16" borderId="23" xfId="70" applyNumberFormat="1" applyFont="1" applyFill="1" applyBorder="1" applyAlignment="1">
      <alignment horizontal="left" vertical="center" wrapText="1"/>
      <protection/>
    </xf>
    <xf numFmtId="3" fontId="42" fillId="16" borderId="24" xfId="70" applyNumberFormat="1" applyFont="1" applyFill="1" applyBorder="1" applyAlignment="1">
      <alignment horizontal="left" vertical="center" wrapText="1"/>
      <protection/>
    </xf>
    <xf numFmtId="0" fontId="42" fillId="25" borderId="72" xfId="61" applyFont="1" applyFill="1" applyBorder="1" applyAlignment="1">
      <alignment horizontal="center" vertical="center" wrapText="1"/>
      <protection/>
    </xf>
    <xf numFmtId="0" fontId="42" fillId="25" borderId="73" xfId="61" applyFont="1" applyFill="1" applyBorder="1" applyAlignment="1">
      <alignment horizontal="center" vertical="center" wrapText="1"/>
      <protection/>
    </xf>
    <xf numFmtId="0" fontId="42" fillId="25" borderId="115" xfId="61" applyFont="1" applyFill="1" applyBorder="1" applyAlignment="1">
      <alignment horizontal="center" vertical="center" wrapText="1"/>
      <protection/>
    </xf>
    <xf numFmtId="2" fontId="47" fillId="8" borderId="16" xfId="61" applyNumberFormat="1" applyFont="1" applyFill="1" applyBorder="1" applyAlignment="1">
      <alignment horizontal="left" vertical="center" wrapText="1"/>
      <protection/>
    </xf>
    <xf numFmtId="2" fontId="47" fillId="8" borderId="67" xfId="61" applyNumberFormat="1" applyFont="1" applyFill="1" applyBorder="1" applyAlignment="1">
      <alignment horizontal="left" vertical="center" wrapText="1"/>
      <protection/>
    </xf>
    <xf numFmtId="2" fontId="47" fillId="0" borderId="116" xfId="61" applyNumberFormat="1" applyFont="1" applyFill="1" applyBorder="1" applyAlignment="1">
      <alignment horizontal="center" vertical="center" wrapText="1"/>
      <protection/>
    </xf>
    <xf numFmtId="2" fontId="47" fillId="0" borderId="117" xfId="61" applyNumberFormat="1" applyFont="1" applyFill="1" applyBorder="1" applyAlignment="1">
      <alignment horizontal="center" vertical="center" wrapText="1"/>
      <protection/>
    </xf>
    <xf numFmtId="2" fontId="47" fillId="0" borderId="100" xfId="61" applyNumberFormat="1" applyFont="1" applyFill="1" applyBorder="1" applyAlignment="1">
      <alignment horizontal="center" vertical="center" wrapText="1"/>
      <protection/>
    </xf>
    <xf numFmtId="3" fontId="42" fillId="16" borderId="16" xfId="70" applyNumberFormat="1" applyFont="1" applyFill="1" applyBorder="1" applyAlignment="1">
      <alignment horizontal="left" vertical="center" wrapText="1"/>
      <protection/>
    </xf>
    <xf numFmtId="3" fontId="42" fillId="16" borderId="67" xfId="70" applyNumberFormat="1" applyFont="1" applyFill="1" applyBorder="1" applyAlignment="1">
      <alignment horizontal="left" vertical="center" wrapText="1"/>
      <protection/>
    </xf>
    <xf numFmtId="0" fontId="75" fillId="0" borderId="0" xfId="56" applyFont="1" applyAlignment="1">
      <alignment horizontal="left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104" xfId="56" applyFont="1" applyBorder="1" applyAlignment="1">
      <alignment horizontal="center" vertical="center" wrapText="1"/>
      <protection/>
    </xf>
    <xf numFmtId="0" fontId="42" fillId="0" borderId="64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/>
      <protection/>
    </xf>
    <xf numFmtId="0" fontId="42" fillId="0" borderId="105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104" xfId="56" applyFont="1" applyBorder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105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2" fillId="0" borderId="73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103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103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2" fillId="0" borderId="103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103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0" fontId="43" fillId="0" borderId="105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7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 wrapText="1"/>
      <protection/>
    </xf>
    <xf numFmtId="0" fontId="42" fillId="0" borderId="105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32" fillId="25" borderId="116" xfId="59" applyFont="1" applyFill="1" applyBorder="1" applyAlignment="1">
      <alignment horizontal="center" vertical="center" wrapText="1"/>
      <protection/>
    </xf>
    <xf numFmtId="0" fontId="32" fillId="25" borderId="117" xfId="59" applyFont="1" applyFill="1" applyBorder="1" applyAlignment="1">
      <alignment horizontal="center" vertical="center" wrapText="1"/>
      <protection/>
    </xf>
    <xf numFmtId="0" fontId="32" fillId="25" borderId="75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7" xfId="59" applyNumberFormat="1" applyFont="1" applyFill="1" applyBorder="1" applyAlignment="1">
      <alignment horizontal="center" vertical="center"/>
      <protection/>
    </xf>
    <xf numFmtId="0" fontId="43" fillId="0" borderId="67" xfId="0" applyFont="1" applyBorder="1" applyAlignment="1">
      <alignment vertical="center"/>
    </xf>
    <xf numFmtId="0" fontId="43" fillId="0" borderId="89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104" xfId="59" applyNumberFormat="1" applyFont="1" applyFill="1" applyBorder="1" applyAlignment="1">
      <alignment horizontal="left" vertical="center"/>
      <protection/>
    </xf>
    <xf numFmtId="2" fontId="47" fillId="8" borderId="64" xfId="59" applyNumberFormat="1" applyFont="1" applyFill="1" applyBorder="1" applyAlignment="1">
      <alignment horizontal="left" vertical="center"/>
      <protection/>
    </xf>
    <xf numFmtId="0" fontId="42" fillId="0" borderId="72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3" fillId="0" borderId="61" xfId="56" applyFont="1" applyBorder="1" applyAlignment="1" applyProtection="1">
      <alignment horizontal="center" vertical="center"/>
      <protection locked="0"/>
    </xf>
    <xf numFmtId="0" fontId="43" fillId="0" borderId="105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1" xfId="52" applyNumberFormat="1" applyFont="1" applyBorder="1" applyAlignment="1" applyProtection="1">
      <alignment horizontal="center" vertical="center"/>
      <protection locked="0"/>
    </xf>
    <xf numFmtId="177" fontId="42" fillId="0" borderId="105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104" xfId="56" applyFont="1" applyFill="1" applyBorder="1" applyAlignment="1">
      <alignment horizontal="center" vertical="center"/>
      <protection/>
    </xf>
    <xf numFmtId="0" fontId="43" fillId="0" borderId="64" xfId="56" applyFont="1" applyFill="1" applyBorder="1" applyAlignment="1">
      <alignment horizontal="center" vertical="center"/>
      <protection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89" xfId="0" applyFont="1" applyFill="1" applyBorder="1" applyAlignment="1">
      <alignment horizontal="center" vertical="center"/>
    </xf>
    <xf numFmtId="0" fontId="42" fillId="8" borderId="82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0" fontId="42" fillId="8" borderId="81" xfId="0" applyFont="1" applyFill="1" applyBorder="1" applyAlignment="1">
      <alignment horizontal="center" vertical="center"/>
    </xf>
    <xf numFmtId="0" fontId="42" fillId="0" borderId="7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48" fillId="0" borderId="0" xfId="55" applyFont="1" applyAlignment="1">
      <alignment horizontal="left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3" fillId="8" borderId="65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5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72" xfId="59" applyFont="1" applyFill="1" applyBorder="1" applyAlignment="1">
      <alignment horizontal="center" vertical="center" wrapText="1"/>
      <protection/>
    </xf>
    <xf numFmtId="0" fontId="42" fillId="25" borderId="73" xfId="59" applyFont="1" applyFill="1" applyBorder="1" applyAlignment="1">
      <alignment horizontal="center" vertical="center" wrapText="1"/>
      <protection/>
    </xf>
    <xf numFmtId="1" fontId="42" fillId="25" borderId="73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5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2" fontId="47" fillId="8" borderId="65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177" fontId="43" fillId="0" borderId="118" xfId="0" applyNumberFormat="1" applyFont="1" applyBorder="1" applyAlignment="1" applyProtection="1">
      <alignment horizontal="left" vertical="center" wrapText="1"/>
      <protection locked="0"/>
    </xf>
    <xf numFmtId="177" fontId="43" fillId="0" borderId="119" xfId="0" applyNumberFormat="1" applyFont="1" applyBorder="1" applyAlignment="1" applyProtection="1">
      <alignment horizontal="left" vertical="center" wrapText="1"/>
      <protection locked="0"/>
    </xf>
    <xf numFmtId="177" fontId="42" fillId="0" borderId="118" xfId="0" applyNumberFormat="1" applyFont="1" applyBorder="1" applyAlignment="1" applyProtection="1">
      <alignment horizontal="center" vertical="center" wrapText="1"/>
      <protection locked="0"/>
    </xf>
    <xf numFmtId="177" fontId="42" fillId="0" borderId="119" xfId="0" applyNumberFormat="1" applyFont="1" applyBorder="1" applyAlignment="1" applyProtection="1">
      <alignment horizontal="center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104" xfId="59" applyNumberFormat="1" applyFont="1" applyFill="1" applyBorder="1" applyAlignment="1">
      <alignment horizontal="center" vertical="center" wrapText="1"/>
      <protection/>
    </xf>
    <xf numFmtId="2" fontId="47" fillId="0" borderId="63" xfId="59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0" xfId="0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7" fontId="43" fillId="0" borderId="118" xfId="0" applyNumberFormat="1" applyFont="1" applyBorder="1" applyAlignment="1" applyProtection="1">
      <alignment horizontal="center" vertical="center" wrapText="1"/>
      <protection locked="0"/>
    </xf>
    <xf numFmtId="177" fontId="43" fillId="0" borderId="119" xfId="0" applyNumberFormat="1" applyFont="1" applyBorder="1" applyAlignment="1" applyProtection="1">
      <alignment horizontal="center" vertical="center" wrapText="1"/>
      <protection locked="0"/>
    </xf>
    <xf numFmtId="177" fontId="49" fillId="0" borderId="122" xfId="0" applyNumberFormat="1" applyFont="1" applyBorder="1" applyAlignment="1" applyProtection="1">
      <alignment horizontal="center" vertical="center" wrapText="1"/>
      <protection locked="0"/>
    </xf>
    <xf numFmtId="177" fontId="49" fillId="0" borderId="83" xfId="0" applyNumberFormat="1" applyFont="1" applyBorder="1" applyAlignment="1" applyProtection="1">
      <alignment horizontal="center" vertical="center" wrapText="1"/>
      <protection locked="0"/>
    </xf>
    <xf numFmtId="177" fontId="49" fillId="0" borderId="84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177" fontId="42" fillId="0" borderId="123" xfId="0" applyNumberFormat="1" applyFont="1" applyBorder="1" applyAlignment="1" applyProtection="1">
      <alignment horizontal="center" vertical="center" wrapText="1"/>
      <protection locked="0"/>
    </xf>
    <xf numFmtId="177" fontId="42" fillId="0" borderId="124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50" fillId="0" borderId="118" xfId="0" applyFont="1" applyBorder="1" applyAlignment="1" applyProtection="1">
      <alignment horizontal="center" vertical="center" wrapText="1"/>
      <protection locked="0"/>
    </xf>
    <xf numFmtId="0" fontId="50" fillId="0" borderId="119" xfId="0" applyFont="1" applyBorder="1" applyAlignment="1" applyProtection="1">
      <alignment horizontal="center" vertical="center" wrapText="1"/>
      <protection locked="0"/>
    </xf>
    <xf numFmtId="0" fontId="49" fillId="0" borderId="122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49" fillId="0" borderId="84" xfId="0" applyFont="1" applyBorder="1" applyAlignment="1">
      <alignment horizontal="center" vertical="center" wrapText="1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81" xfId="59" applyNumberFormat="1" applyFont="1" applyFill="1" applyBorder="1" applyAlignment="1">
      <alignment horizontal="center" vertical="center" wrapText="1"/>
      <protection/>
    </xf>
    <xf numFmtId="0" fontId="1" fillId="25" borderId="116" xfId="59" applyFont="1" applyFill="1" applyBorder="1" applyAlignment="1">
      <alignment horizontal="center" vertical="center" wrapText="1"/>
      <protection/>
    </xf>
    <xf numFmtId="0" fontId="1" fillId="25" borderId="117" xfId="59" applyFont="1" applyFill="1" applyBorder="1" applyAlignment="1">
      <alignment horizontal="center" vertical="center" wrapText="1"/>
      <protection/>
    </xf>
    <xf numFmtId="0" fontId="1" fillId="25" borderId="75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104" xfId="59" applyNumberFormat="1" applyFont="1" applyFill="1" applyBorder="1" applyAlignment="1">
      <alignment horizontal="left" vertical="center" wrapText="1"/>
      <protection/>
    </xf>
    <xf numFmtId="2" fontId="29" fillId="8" borderId="64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104" xfId="59" applyNumberFormat="1" applyFont="1" applyFill="1" applyBorder="1" applyAlignment="1">
      <alignment horizontal="center" vertical="center"/>
      <protection/>
    </xf>
    <xf numFmtId="2" fontId="29" fillId="0" borderId="63" xfId="59" applyNumberFormat="1" applyFont="1" applyFill="1" applyBorder="1" applyAlignment="1">
      <alignment horizontal="center" vertical="center"/>
      <protection/>
    </xf>
    <xf numFmtId="0" fontId="43" fillId="0" borderId="42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8" borderId="125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9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3" fillId="0" borderId="18" xfId="66" applyNumberFormat="1" applyFont="1" applyFill="1" applyBorder="1" applyAlignment="1">
      <alignment horizontal="center" vertical="center" wrapText="1"/>
      <protection/>
    </xf>
    <xf numFmtId="0" fontId="43" fillId="0" borderId="64" xfId="66" applyNumberFormat="1" applyFont="1" applyFill="1" applyBorder="1" applyAlignment="1">
      <alignment horizontal="center" vertical="center" wrapText="1"/>
      <protection/>
    </xf>
    <xf numFmtId="0" fontId="43" fillId="0" borderId="45" xfId="66" applyNumberFormat="1" applyFont="1" applyBorder="1" applyAlignment="1" applyProtection="1">
      <alignment horizontal="center" vertical="center"/>
      <protection locked="0"/>
    </xf>
    <xf numFmtId="0" fontId="43" fillId="0" borderId="47" xfId="66" applyNumberFormat="1" applyFont="1" applyBorder="1" applyAlignment="1" applyProtection="1">
      <alignment horizontal="center" vertical="center"/>
      <protection locked="0"/>
    </xf>
    <xf numFmtId="0" fontId="43" fillId="0" borderId="61" xfId="66" applyNumberFormat="1" applyFont="1" applyFill="1" applyBorder="1" applyAlignment="1">
      <alignment horizontal="center" vertical="center" wrapText="1"/>
      <protection/>
    </xf>
    <xf numFmtId="0" fontId="43" fillId="0" borderId="24" xfId="66" applyNumberFormat="1" applyFont="1" applyFill="1" applyBorder="1" applyAlignment="1">
      <alignment horizontal="center" vertical="center" wrapText="1"/>
      <protection/>
    </xf>
    <xf numFmtId="0" fontId="43" fillId="0" borderId="18" xfId="66" applyNumberFormat="1" applyFont="1" applyBorder="1" applyAlignment="1" applyProtection="1">
      <alignment horizontal="center" vertical="center"/>
      <protection locked="0"/>
    </xf>
    <xf numFmtId="0" fontId="43" fillId="0" borderId="64" xfId="66" applyNumberFormat="1" applyFont="1" applyBorder="1" applyAlignment="1" applyProtection="1">
      <alignment horizontal="center" vertical="center"/>
      <protection locked="0"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64" xfId="66" applyFont="1" applyFill="1" applyBorder="1" applyAlignment="1">
      <alignment horizontal="center" vertical="center" wrapText="1"/>
      <protection/>
    </xf>
    <xf numFmtId="0" fontId="42" fillId="0" borderId="61" xfId="66" applyFont="1" applyFill="1" applyBorder="1" applyAlignment="1">
      <alignment horizontal="center" vertical="center" wrapText="1"/>
      <protection/>
    </xf>
    <xf numFmtId="0" fontId="42" fillId="0" borderId="24" xfId="66" applyFont="1" applyFill="1" applyBorder="1" applyAlignment="1">
      <alignment horizontal="center" vertical="center" wrapText="1"/>
      <protection/>
    </xf>
    <xf numFmtId="0" fontId="42" fillId="0" borderId="103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3" fillId="0" borderId="63" xfId="66" applyNumberFormat="1" applyFont="1" applyBorder="1" applyAlignment="1" applyProtection="1">
      <alignment horizontal="center" vertical="center"/>
      <protection locked="0"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12" xfId="66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42" fillId="0" borderId="104" xfId="66" applyFont="1" applyFill="1" applyBorder="1" applyAlignment="1">
      <alignment horizontal="center" vertical="center" wrapText="1"/>
      <protection/>
    </xf>
    <xf numFmtId="0" fontId="43" fillId="0" borderId="104" xfId="66" applyNumberFormat="1" applyFont="1" applyBorder="1" applyAlignment="1" applyProtection="1">
      <alignment horizontal="center" vertical="center"/>
      <protection locked="0"/>
    </xf>
    <xf numFmtId="4" fontId="43" fillId="0" borderId="18" xfId="66" applyNumberFormat="1" applyFont="1" applyFill="1" applyBorder="1" applyAlignment="1">
      <alignment horizontal="center" vertical="center" wrapText="1"/>
      <protection/>
    </xf>
    <xf numFmtId="4" fontId="43" fillId="0" borderId="104" xfId="66" applyNumberFormat="1" applyFont="1" applyFill="1" applyBorder="1" applyAlignment="1">
      <alignment horizontal="center" vertical="center" wrapText="1"/>
      <protection/>
    </xf>
    <xf numFmtId="4" fontId="43" fillId="0" borderId="64" xfId="66" applyNumberFormat="1" applyFont="1" applyFill="1" applyBorder="1" applyAlignment="1">
      <alignment horizontal="center" vertical="center" wrapText="1"/>
      <protection/>
    </xf>
    <xf numFmtId="0" fontId="44" fillId="0" borderId="65" xfId="66" applyFont="1" applyFill="1" applyBorder="1" applyAlignment="1">
      <alignment horizontal="center" vertical="center" wrapText="1"/>
      <protection/>
    </xf>
    <xf numFmtId="0" fontId="44" fillId="0" borderId="17" xfId="66" applyFont="1" applyFill="1" applyBorder="1" applyAlignment="1">
      <alignment horizontal="center" vertical="center" wrapText="1"/>
      <protection/>
    </xf>
    <xf numFmtId="0" fontId="44" fillId="0" borderId="12" xfId="66" applyFont="1" applyFill="1" applyBorder="1" applyAlignment="1">
      <alignment horizontal="center" vertical="center" wrapText="1"/>
      <protection/>
    </xf>
    <xf numFmtId="0" fontId="42" fillId="0" borderId="65" xfId="66" applyFont="1" applyFill="1" applyBorder="1" applyAlignment="1">
      <alignment horizontal="center" vertical="center" wrapText="1"/>
      <protection/>
    </xf>
    <xf numFmtId="4" fontId="43" fillId="0" borderId="10" xfId="66" applyNumberFormat="1" applyFont="1" applyBorder="1" applyAlignment="1">
      <alignment horizontal="center" vertical="center"/>
      <protection/>
    </xf>
    <xf numFmtId="4" fontId="43" fillId="0" borderId="104" xfId="66" applyNumberFormat="1" applyFont="1" applyBorder="1" applyAlignment="1">
      <alignment horizontal="center" vertical="center"/>
      <protection/>
    </xf>
    <xf numFmtId="4" fontId="43" fillId="0" borderId="64" xfId="66" applyNumberFormat="1" applyFont="1" applyBorder="1" applyAlignment="1">
      <alignment horizontal="center" vertical="center"/>
      <protection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6" applyFont="1" applyFill="1" applyBorder="1" applyAlignment="1">
      <alignment horizontal="center" vertical="center" wrapText="1"/>
      <protection/>
    </xf>
    <xf numFmtId="0" fontId="44" fillId="0" borderId="56" xfId="66" applyFont="1" applyFill="1" applyBorder="1" applyAlignment="1">
      <alignment horizontal="center" vertical="center" wrapText="1"/>
      <protection/>
    </xf>
    <xf numFmtId="0" fontId="44" fillId="0" borderId="81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horizontal="center" vertical="center" wrapText="1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76" xfId="57" applyFont="1" applyBorder="1" applyAlignment="1">
      <alignment horizontal="center"/>
      <protection/>
    </xf>
    <xf numFmtId="0" fontId="8" fillId="25" borderId="116" xfId="60" applyFont="1" applyFill="1" applyBorder="1" applyAlignment="1">
      <alignment horizontal="center" vertical="center" wrapText="1"/>
      <protection/>
    </xf>
    <xf numFmtId="0" fontId="8" fillId="25" borderId="117" xfId="60" applyFont="1" applyFill="1" applyBorder="1" applyAlignment="1">
      <alignment horizontal="center" vertical="center" wrapText="1"/>
      <protection/>
    </xf>
    <xf numFmtId="0" fontId="8" fillId="25" borderId="75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105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2" fillId="0" borderId="77" xfId="66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wrapText="1"/>
      <protection/>
    </xf>
    <xf numFmtId="0" fontId="42" fillId="0" borderId="66" xfId="66" applyFont="1" applyFill="1" applyBorder="1" applyAlignment="1">
      <alignment horizontal="center" vertical="center" wrapText="1"/>
      <protection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32" fillId="8" borderId="125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5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4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0" fontId="43" fillId="0" borderId="105" xfId="0" applyFont="1" applyBorder="1" applyAlignment="1">
      <alignment vertical="center" wrapText="1"/>
    </xf>
    <xf numFmtId="0" fontId="43" fillId="0" borderId="126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81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/>
    </xf>
    <xf numFmtId="0" fontId="76" fillId="0" borderId="5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03" xfId="0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 applyProtection="1">
      <alignment horizontal="center" vertical="center"/>
      <protection locked="0"/>
    </xf>
    <xf numFmtId="0" fontId="42" fillId="25" borderId="116" xfId="59" applyFont="1" applyFill="1" applyBorder="1" applyAlignment="1">
      <alignment horizontal="center" vertical="center" wrapText="1"/>
      <protection/>
    </xf>
    <xf numFmtId="0" fontId="42" fillId="25" borderId="117" xfId="59" applyFont="1" applyFill="1" applyBorder="1" applyAlignment="1">
      <alignment horizontal="center" vertical="center" wrapText="1"/>
      <protection/>
    </xf>
    <xf numFmtId="0" fontId="42" fillId="25" borderId="75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104" xfId="0" applyFont="1" applyBorder="1" applyAlignment="1">
      <alignment/>
    </xf>
    <xf numFmtId="0" fontId="43" fillId="0" borderId="64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104" xfId="59" applyNumberFormat="1" applyFont="1" applyFill="1" applyBorder="1" applyAlignment="1">
      <alignment horizontal="center" vertical="center"/>
      <protection/>
    </xf>
    <xf numFmtId="2" fontId="47" fillId="0" borderId="63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2" fontId="47" fillId="8" borderId="104" xfId="59" applyNumberFormat="1" applyFont="1" applyFill="1" applyBorder="1" applyAlignment="1">
      <alignment horizontal="center" vertical="center" wrapText="1"/>
      <protection/>
    </xf>
    <xf numFmtId="2" fontId="47" fillId="8" borderId="64" xfId="59" applyNumberFormat="1" applyFont="1" applyFill="1" applyBorder="1" applyAlignment="1">
      <alignment horizontal="center" vertical="center" wrapText="1"/>
      <protection/>
    </xf>
    <xf numFmtId="0" fontId="43" fillId="0" borderId="104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15" xfId="65" applyFont="1" applyFill="1" applyBorder="1" applyAlignment="1" applyProtection="1">
      <alignment horizontal="center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2" fillId="0" borderId="22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73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2" xfId="60" applyNumberFormat="1" applyFont="1" applyFill="1" applyBorder="1" applyAlignment="1" applyProtection="1">
      <alignment horizontal="center" vertical="center" wrapText="1"/>
      <protection/>
    </xf>
    <xf numFmtId="2" fontId="47" fillId="8" borderId="67" xfId="60" applyNumberFormat="1" applyFont="1" applyFill="1" applyBorder="1" applyAlignment="1" applyProtection="1">
      <alignment horizontal="center" vertical="center" wrapText="1"/>
      <protection/>
    </xf>
    <xf numFmtId="2" fontId="47" fillId="8" borderId="89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7" xfId="60" applyNumberFormat="1" applyFont="1" applyFill="1" applyBorder="1" applyAlignment="1" applyProtection="1">
      <alignment horizontal="center" vertical="center"/>
      <protection/>
    </xf>
    <xf numFmtId="0" fontId="42" fillId="25" borderId="116" xfId="60" applyFont="1" applyFill="1" applyBorder="1" applyAlignment="1" applyProtection="1">
      <alignment horizontal="center" vertical="center" wrapText="1"/>
      <protection/>
    </xf>
    <xf numFmtId="0" fontId="42" fillId="25" borderId="117" xfId="6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2" fontId="9" fillId="8" borderId="65" xfId="62" applyNumberFormat="1" applyFont="1" applyFill="1" applyBorder="1" applyAlignment="1">
      <alignment horizontal="left" vertical="center"/>
      <protection/>
    </xf>
    <xf numFmtId="2" fontId="9" fillId="8" borderId="17" xfId="62" applyNumberFormat="1" applyFont="1" applyFill="1" applyBorder="1" applyAlignment="1">
      <alignment horizontal="left" vertical="center"/>
      <protection/>
    </xf>
    <xf numFmtId="2" fontId="9" fillId="8" borderId="12" xfId="62" applyNumberFormat="1" applyFont="1" applyFill="1" applyBorder="1" applyAlignment="1">
      <alignment horizontal="left" vertical="center"/>
      <protection/>
    </xf>
    <xf numFmtId="177" fontId="42" fillId="8" borderId="127" xfId="0" applyNumberFormat="1" applyFont="1" applyFill="1" applyBorder="1" applyAlignment="1" applyProtection="1">
      <alignment horizontal="center" vertical="center"/>
      <protection/>
    </xf>
    <xf numFmtId="177" fontId="43" fillId="8" borderId="128" xfId="0" applyNumberFormat="1" applyFont="1" applyFill="1" applyBorder="1" applyAlignment="1">
      <alignment horizontal="center" vertical="center"/>
    </xf>
    <xf numFmtId="177" fontId="42" fillId="8" borderId="82" xfId="64" applyNumberFormat="1" applyFont="1" applyFill="1" applyBorder="1" applyAlignment="1" applyProtection="1">
      <alignment horizontal="center" vertical="center" wrapText="1"/>
      <protection/>
    </xf>
    <xf numFmtId="177" fontId="43" fillId="8" borderId="69" xfId="64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Modelos PIAF 2014 (flujo+inversiones+deuda)" xfId="61"/>
    <cellStyle name="Normal_AGBOD-94_PLANTILLAS EPEL+INTEGRA+MAYORITARIA" xfId="62"/>
    <cellStyle name="Normal_AGBOD-94_PLANTILLAS EPEL+INTEGRA+MAYORITARIA_PAIF 2017. Modelo Ordinario (Normal)" xfId="63"/>
    <cellStyle name="Normal_CONSOLIDADO-2002" xfId="64"/>
    <cellStyle name="Normal_CS-96" xfId="65"/>
    <cellStyle name="Normal_CS-96_PAIF EMPRESAS PARA ENVIAR" xfId="66"/>
    <cellStyle name="Normal_PF1-INV" xfId="67"/>
    <cellStyle name="Normal_PF1-INV_1. CASINO TAORO PAIF 2009" xfId="68"/>
    <cellStyle name="Normal_PYG96" xfId="69"/>
    <cellStyle name="Normal_PYG96_Modelos PIAF 2014 (flujo+inversiones+deuda)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  <cellStyle name="Währung" xfId="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734</v>
      </c>
      <c r="C1" s="15"/>
    </row>
    <row r="2" spans="1:3" s="4" customFormat="1" ht="12.75">
      <c r="A2" s="4" t="s">
        <v>733</v>
      </c>
      <c r="C2" s="15"/>
    </row>
    <row r="3" ht="12.75"/>
    <row r="4" ht="12.75"/>
    <row r="5" spans="1:4" ht="12.75">
      <c r="A5" s="1031">
        <f>CPYG!A2</f>
        <v>0</v>
      </c>
      <c r="B5" s="1031"/>
      <c r="C5" s="1031"/>
      <c r="D5" s="1031"/>
    </row>
    <row r="6" ht="12.75"/>
    <row r="7" ht="13.5" thickBot="1"/>
    <row r="8" spans="1:3" ht="12.75">
      <c r="A8" s="1032" t="s">
        <v>696</v>
      </c>
      <c r="B8" s="1033"/>
      <c r="C8" s="1041" t="s">
        <v>697</v>
      </c>
    </row>
    <row r="9" spans="1:3" ht="12.75">
      <c r="A9" s="1034"/>
      <c r="B9" s="1035"/>
      <c r="C9" s="1042"/>
    </row>
    <row r="10" spans="1:3" ht="12.75">
      <c r="A10" s="1034"/>
      <c r="B10" s="1035"/>
      <c r="C10" s="1042"/>
    </row>
    <row r="11" spans="1:3" ht="12.75">
      <c r="A11" s="1036"/>
      <c r="B11" s="1037"/>
      <c r="C11" s="1043"/>
    </row>
    <row r="12" spans="1:3" ht="12.75">
      <c r="A12" s="50"/>
      <c r="B12" s="51"/>
      <c r="C12" s="52"/>
    </row>
    <row r="13" spans="1:3" ht="12.75">
      <c r="A13" s="53" t="s">
        <v>698</v>
      </c>
      <c r="B13" s="54" t="s">
        <v>784</v>
      </c>
      <c r="C13" s="55">
        <v>0</v>
      </c>
    </row>
    <row r="14" spans="1:10" ht="12.75" customHeight="1">
      <c r="A14" s="53" t="s">
        <v>699</v>
      </c>
      <c r="B14" s="54" t="s">
        <v>785</v>
      </c>
      <c r="C14" s="55">
        <v>0</v>
      </c>
      <c r="F14" s="1030" t="s">
        <v>736</v>
      </c>
      <c r="G14" s="1030"/>
      <c r="H14" s="1030"/>
      <c r="I14" s="1030"/>
      <c r="J14" s="107"/>
    </row>
    <row r="15" spans="1:10" ht="12.75">
      <c r="A15" s="53" t="s">
        <v>700</v>
      </c>
      <c r="B15" s="54" t="s">
        <v>786</v>
      </c>
      <c r="C15" s="55">
        <f>CPYG!E7</f>
        <v>1344929.24</v>
      </c>
      <c r="F15" s="1030"/>
      <c r="G15" s="1030"/>
      <c r="H15" s="1030"/>
      <c r="I15" s="1030"/>
      <c r="J15" s="107"/>
    </row>
    <row r="16" spans="1:10" ht="12.75">
      <c r="A16" s="53" t="s">
        <v>701</v>
      </c>
      <c r="B16" s="54" t="s">
        <v>787</v>
      </c>
      <c r="C16" s="55" t="e">
        <f>'No rellenar EP-5 '!E29+#REF!</f>
        <v>#REF!</v>
      </c>
      <c r="F16" s="1030"/>
      <c r="G16" s="1030"/>
      <c r="H16" s="1030"/>
      <c r="I16" s="1030"/>
      <c r="J16" s="107"/>
    </row>
    <row r="17" spans="1:9" ht="12.75">
      <c r="A17" s="53" t="s">
        <v>702</v>
      </c>
      <c r="B17" s="54" t="s">
        <v>788</v>
      </c>
      <c r="C17" s="55">
        <f>CPYG!E17+CPYG!E66+CPYG!E62</f>
        <v>10889352.780000001</v>
      </c>
      <c r="F17" s="1030"/>
      <c r="G17" s="1030"/>
      <c r="H17" s="1030"/>
      <c r="I17" s="1030"/>
    </row>
    <row r="18" spans="1:9" ht="12.75">
      <c r="A18" s="56"/>
      <c r="B18" s="57"/>
      <c r="C18" s="58"/>
      <c r="F18" s="1030"/>
      <c r="G18" s="1030"/>
      <c r="H18" s="1030"/>
      <c r="I18" s="1030"/>
    </row>
    <row r="19" spans="1:9" ht="12.75">
      <c r="A19" s="92" t="s">
        <v>703</v>
      </c>
      <c r="B19" s="93"/>
      <c r="C19" s="94" t="e">
        <f>SUM(C13:C17)</f>
        <v>#REF!</v>
      </c>
      <c r="F19" s="1030"/>
      <c r="G19" s="1030"/>
      <c r="H19" s="1030"/>
      <c r="I19" s="1030"/>
    </row>
    <row r="20" spans="1:9" ht="12.75">
      <c r="A20" s="59"/>
      <c r="B20" s="60"/>
      <c r="C20" s="61"/>
      <c r="F20" s="1030"/>
      <c r="G20" s="1030"/>
      <c r="H20" s="1030"/>
      <c r="I20" s="1030"/>
    </row>
    <row r="21" spans="1:9" ht="12.75">
      <c r="A21" s="56"/>
      <c r="B21" s="57"/>
      <c r="C21" s="58"/>
      <c r="F21" s="1030"/>
      <c r="G21" s="1030"/>
      <c r="H21" s="1030"/>
      <c r="I21" s="1030"/>
    </row>
    <row r="22" spans="1:9" ht="12.75">
      <c r="A22" s="53" t="s">
        <v>704</v>
      </c>
      <c r="B22" s="54" t="s">
        <v>789</v>
      </c>
      <c r="C22" s="58">
        <f>'Inv. NO FIN'!I17+'Inv. NO FIN'!I18+'Inv. NO FIN'!I19+'Inv. NO FIN'!I20</f>
        <v>0</v>
      </c>
      <c r="F22" s="1030"/>
      <c r="G22" s="1030"/>
      <c r="H22" s="1030"/>
      <c r="I22" s="1030"/>
    </row>
    <row r="23" spans="1:9" ht="12.75">
      <c r="A23" s="53" t="s">
        <v>705</v>
      </c>
      <c r="B23" s="54" t="s">
        <v>790</v>
      </c>
      <c r="C23" s="58" t="e">
        <f>'Transf. y subv.'!F15+'Transf. y subv.'!#REF!</f>
        <v>#REF!</v>
      </c>
      <c r="F23" s="1030"/>
      <c r="G23" s="1030"/>
      <c r="H23" s="1030"/>
      <c r="I23" s="1030"/>
    </row>
    <row r="24" spans="1:3" ht="12.75">
      <c r="A24" s="56"/>
      <c r="B24" s="57"/>
      <c r="C24" s="58"/>
    </row>
    <row r="25" spans="1:3" ht="12.75">
      <c r="A25" s="92" t="s">
        <v>706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707</v>
      </c>
      <c r="B28" s="54" t="s">
        <v>791</v>
      </c>
      <c r="C28" s="55">
        <f>'Inv. FIN'!F40</f>
        <v>0</v>
      </c>
    </row>
    <row r="29" spans="1:3" ht="12.75">
      <c r="A29" s="53" t="s">
        <v>708</v>
      </c>
      <c r="B29" s="54" t="s">
        <v>792</v>
      </c>
      <c r="C29" s="55">
        <f>'Deuda L.P.'!J24</f>
        <v>300000</v>
      </c>
    </row>
    <row r="30" spans="1:3" ht="12.75">
      <c r="A30" s="56"/>
      <c r="B30" s="57"/>
      <c r="C30" s="58"/>
    </row>
    <row r="31" spans="1:3" ht="12.75">
      <c r="A31" s="92" t="s">
        <v>709</v>
      </c>
      <c r="B31" s="93"/>
      <c r="C31" s="95">
        <f>SUM(C28:C29)</f>
        <v>300000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710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1044" t="s">
        <v>711</v>
      </c>
      <c r="C38" s="1046">
        <f>CPYG!E81</f>
        <v>0</v>
      </c>
    </row>
    <row r="39" spans="1:3" ht="13.5" thickBot="1">
      <c r="A39" s="77"/>
      <c r="B39" s="1045"/>
      <c r="C39" s="1047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710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1032" t="s">
        <v>696</v>
      </c>
      <c r="B49" s="1033"/>
      <c r="C49" s="1038" t="s">
        <v>697</v>
      </c>
    </row>
    <row r="50" spans="1:3" ht="12.75">
      <c r="A50" s="1034"/>
      <c r="B50" s="1035"/>
      <c r="C50" s="1039"/>
    </row>
    <row r="51" spans="1:3" ht="12.75">
      <c r="A51" s="1034"/>
      <c r="B51" s="1035"/>
      <c r="C51" s="1039"/>
    </row>
    <row r="52" spans="1:3" ht="12.75">
      <c r="A52" s="1036"/>
      <c r="B52" s="1037"/>
      <c r="C52" s="1040"/>
    </row>
    <row r="53" spans="1:3" ht="12.75">
      <c r="A53" s="62"/>
      <c r="B53" s="51"/>
      <c r="C53" s="64"/>
    </row>
    <row r="54" spans="1:3" ht="12.75">
      <c r="A54" s="53" t="s">
        <v>698</v>
      </c>
      <c r="B54" s="82" t="s">
        <v>712</v>
      </c>
      <c r="C54" s="83">
        <f>-CPYG!E29</f>
        <v>1977829.09</v>
      </c>
    </row>
    <row r="55" spans="1:3" ht="12.75">
      <c r="A55" s="53" t="s">
        <v>699</v>
      </c>
      <c r="B55" s="82" t="s">
        <v>713</v>
      </c>
      <c r="C55" s="83">
        <f>-CPYG!E12-CPYG!E37+CPYG!E40-CPYG!E90</f>
        <v>12237733.7</v>
      </c>
    </row>
    <row r="56" spans="1:3" ht="12.75">
      <c r="A56" s="53" t="s">
        <v>700</v>
      </c>
      <c r="B56" s="82" t="s">
        <v>137</v>
      </c>
      <c r="C56" s="83">
        <f>-CPYG!E74</f>
        <v>3000</v>
      </c>
    </row>
    <row r="57" spans="1:3" ht="12.75">
      <c r="A57" s="53" t="s">
        <v>701</v>
      </c>
      <c r="B57" s="82" t="s">
        <v>714</v>
      </c>
      <c r="C57" s="83"/>
    </row>
    <row r="58" spans="1:3" ht="12.75">
      <c r="A58" s="62"/>
      <c r="B58" s="63"/>
      <c r="C58" s="83"/>
    </row>
    <row r="59" spans="1:6" ht="12.75">
      <c r="A59" s="92" t="s">
        <v>715</v>
      </c>
      <c r="B59" s="93"/>
      <c r="C59" s="95">
        <f>SUM(C54:C58)</f>
        <v>14218562.79</v>
      </c>
      <c r="E59" s="37" t="e">
        <f>C19-C59</f>
        <v>#REF!</v>
      </c>
      <c r="F59" s="2" t="s">
        <v>716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704</v>
      </c>
      <c r="B62" s="82" t="s">
        <v>717</v>
      </c>
      <c r="C62" s="83">
        <f>'Inv. NO FIN'!D17+'Inv. NO FIN'!D18+'Inv. NO FIN'!D19+'Inv. NO FIN'!D20</f>
        <v>0</v>
      </c>
      <c r="E62" s="2" t="e">
        <f>-#REF!</f>
        <v>#REF!</v>
      </c>
    </row>
    <row r="63" spans="1:7" ht="12.75">
      <c r="A63" s="53" t="s">
        <v>705</v>
      </c>
      <c r="B63" s="82" t="s">
        <v>718</v>
      </c>
      <c r="C63" s="83"/>
      <c r="E63" s="37" t="e">
        <f>SUM(E59:E62)</f>
        <v>#REF!</v>
      </c>
      <c r="F63" s="2">
        <f>CPYG!E94</f>
        <v>-2056196.0099999977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719</v>
      </c>
      <c r="B65" s="93"/>
      <c r="C65" s="95">
        <f>SUM(C62:C63)</f>
        <v>0</v>
      </c>
      <c r="E65" s="37" t="e">
        <f>C25+C31-C65-C71</f>
        <v>#REF!</v>
      </c>
      <c r="F65" s="2" t="s">
        <v>720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707</v>
      </c>
      <c r="B68" s="82" t="s">
        <v>721</v>
      </c>
      <c r="C68" s="83">
        <f>'Inv. FIN'!H40</f>
        <v>0</v>
      </c>
    </row>
    <row r="69" spans="1:3" ht="12.75">
      <c r="A69" s="53" t="s">
        <v>708</v>
      </c>
      <c r="B69" s="82" t="s">
        <v>722</v>
      </c>
      <c r="C69" s="83"/>
    </row>
    <row r="70" spans="1:3" ht="12.75">
      <c r="A70" s="62"/>
      <c r="B70" s="63"/>
      <c r="C70" s="64"/>
    </row>
    <row r="71" spans="1:6" ht="12.75">
      <c r="A71" s="92" t="s">
        <v>723</v>
      </c>
      <c r="B71" s="93"/>
      <c r="C71" s="95">
        <f>SUM(C68:C69)</f>
        <v>0</v>
      </c>
      <c r="E71" s="37" t="e">
        <f>SUM(E59:E66)</f>
        <v>#REF!</v>
      </c>
      <c r="F71" s="2" t="s">
        <v>724</v>
      </c>
    </row>
    <row r="72" spans="1:3" ht="13.5" thickBot="1">
      <c r="A72" s="85"/>
      <c r="B72" s="86"/>
      <c r="C72" s="87"/>
    </row>
    <row r="73" spans="1:3" ht="13.5" thickTop="1">
      <c r="A73" s="1048"/>
      <c r="B73" s="1044" t="s">
        <v>725</v>
      </c>
      <c r="C73" s="1050" t="e">
        <f>#REF!+#REF!</f>
        <v>#REF!</v>
      </c>
    </row>
    <row r="74" spans="1:6" ht="13.5" thickBot="1">
      <c r="A74" s="1049"/>
      <c r="B74" s="1045"/>
      <c r="C74" s="1051"/>
      <c r="E74" s="37"/>
      <c r="F74" s="2" t="s">
        <v>138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726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1048"/>
      <c r="B80" s="1044" t="s">
        <v>727</v>
      </c>
      <c r="C80" s="1050" t="e">
        <f>-D97</f>
        <v>#REF!</v>
      </c>
      <c r="E80" s="37" t="e">
        <f>E71-E74</f>
        <v>#REF!</v>
      </c>
      <c r="F80" s="2" t="s">
        <v>628</v>
      </c>
    </row>
    <row r="81" spans="1:3" ht="13.5" thickBot="1">
      <c r="A81" s="1049"/>
      <c r="B81" s="1045"/>
      <c r="C81" s="1051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728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783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735</v>
      </c>
      <c r="C94" s="2"/>
      <c r="D94" s="38" t="e">
        <f>-#REF!</f>
        <v>#REF!</v>
      </c>
      <c r="E94" s="2" t="s">
        <v>729</v>
      </c>
    </row>
    <row r="95" spans="2:4" ht="12.75">
      <c r="B95" s="49" t="s">
        <v>730</v>
      </c>
      <c r="C95" s="2"/>
      <c r="D95" s="38"/>
    </row>
    <row r="96" spans="2:5" ht="12.75">
      <c r="B96" s="4" t="s">
        <v>731</v>
      </c>
      <c r="C96" s="2"/>
      <c r="D96" s="38" t="e">
        <f>#REF!+#REF!</f>
        <v>#REF!</v>
      </c>
      <c r="E96" s="2" t="s">
        <v>732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50"/>
  <sheetViews>
    <sheetView zoomScale="79" zoomScaleNormal="79" zoomScalePageLayoutView="0" workbookViewId="0" topLeftCell="A31">
      <selection activeCell="N1" sqref="N1:N16384"/>
    </sheetView>
  </sheetViews>
  <sheetFormatPr defaultColWidth="11.421875" defaultRowHeight="12.75"/>
  <cols>
    <col min="1" max="1" width="11.421875" style="772" customWidth="1"/>
    <col min="2" max="2" width="2.7109375" style="772" customWidth="1"/>
    <col min="3" max="3" width="23.57421875" style="772" customWidth="1"/>
    <col min="4" max="4" width="29.28125" style="772" customWidth="1"/>
    <col min="5" max="5" width="20.28125" style="772" customWidth="1"/>
    <col min="6" max="6" width="20.7109375" style="772" customWidth="1"/>
    <col min="7" max="7" width="19.421875" style="772" customWidth="1"/>
    <col min="8" max="8" width="15.8515625" style="772" customWidth="1"/>
    <col min="9" max="9" width="15.28125" style="772" customWidth="1"/>
    <col min="10" max="10" width="16.421875" style="772" customWidth="1"/>
    <col min="11" max="11" width="15.7109375" style="772" customWidth="1"/>
    <col min="12" max="12" width="15.28125" style="772" customWidth="1"/>
    <col min="13" max="13" width="19.00390625" style="772" customWidth="1"/>
    <col min="14" max="14" width="0" style="772" hidden="1" customWidth="1"/>
    <col min="15" max="16" width="5.00390625" style="772" hidden="1" customWidth="1"/>
    <col min="17" max="17" width="11.421875" style="772" hidden="1" customWidth="1"/>
    <col min="18" max="16384" width="11.421875" style="772" customWidth="1"/>
  </cols>
  <sheetData>
    <row r="1" ht="25.5" customHeight="1" thickBot="1"/>
    <row r="2" spans="2:13" ht="44.25" customHeight="1">
      <c r="B2" s="1159" t="s">
        <v>215</v>
      </c>
      <c r="C2" s="1160"/>
      <c r="D2" s="1160"/>
      <c r="E2" s="1160"/>
      <c r="F2" s="1160"/>
      <c r="G2" s="1160"/>
      <c r="H2" s="1160"/>
      <c r="I2" s="1160"/>
      <c r="J2" s="1160"/>
      <c r="K2" s="1160"/>
      <c r="L2" s="1161"/>
      <c r="M2" s="773">
        <f>CPYG!E2</f>
        <v>2017</v>
      </c>
    </row>
    <row r="3" spans="2:13" ht="24" customHeight="1">
      <c r="B3" s="1166" t="str">
        <f>'ORGANOS DE GOBIERNO'!B4:I4</f>
        <v>ENTIDAD: SPET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8"/>
      <c r="M3" s="237" t="s">
        <v>203</v>
      </c>
    </row>
    <row r="4" spans="2:13" ht="23.25" customHeight="1" thickBot="1">
      <c r="B4" s="1162" t="s">
        <v>462</v>
      </c>
      <c r="C4" s="1163"/>
      <c r="D4" s="1163"/>
      <c r="E4" s="1163"/>
      <c r="F4" s="1163"/>
      <c r="G4" s="1163"/>
      <c r="H4" s="1164"/>
      <c r="I4" s="1164"/>
      <c r="J4" s="1164"/>
      <c r="K4" s="1164"/>
      <c r="L4" s="1164"/>
      <c r="M4" s="1165"/>
    </row>
    <row r="5" spans="2:13" ht="28.5" customHeight="1">
      <c r="B5" s="1169" t="s">
        <v>490</v>
      </c>
      <c r="C5" s="1130"/>
      <c r="D5" s="1130"/>
      <c r="E5" s="1130" t="s">
        <v>498</v>
      </c>
      <c r="F5" s="1130"/>
      <c r="G5" s="1131"/>
      <c r="H5" s="1130" t="s">
        <v>463</v>
      </c>
      <c r="I5" s="1130"/>
      <c r="J5" s="1131"/>
      <c r="K5" s="1169" t="s">
        <v>464</v>
      </c>
      <c r="L5" s="1130"/>
      <c r="M5" s="1131"/>
    </row>
    <row r="6" spans="2:13" ht="28.5" customHeight="1" thickBot="1">
      <c r="B6" s="1170"/>
      <c r="C6" s="1171"/>
      <c r="D6" s="1171"/>
      <c r="E6" s="775" t="s">
        <v>465</v>
      </c>
      <c r="F6" s="775" t="s">
        <v>466</v>
      </c>
      <c r="G6" s="776" t="s">
        <v>589</v>
      </c>
      <c r="H6" s="775" t="s">
        <v>465</v>
      </c>
      <c r="I6" s="775" t="s">
        <v>466</v>
      </c>
      <c r="J6" s="776" t="s">
        <v>589</v>
      </c>
      <c r="K6" s="774" t="s">
        <v>465</v>
      </c>
      <c r="L6" s="775" t="s">
        <v>466</v>
      </c>
      <c r="M6" s="776" t="s">
        <v>589</v>
      </c>
    </row>
    <row r="7" spans="2:13" ht="28.5" customHeight="1">
      <c r="B7" s="777" t="s">
        <v>467</v>
      </c>
      <c r="C7" s="778"/>
      <c r="D7" s="779"/>
      <c r="E7" s="936">
        <f>+E8+E9</f>
        <v>341687.57</v>
      </c>
      <c r="F7" s="936">
        <f>+F8+F9</f>
        <v>23918.129900000004</v>
      </c>
      <c r="G7" s="937"/>
      <c r="H7" s="936">
        <f>+H8+H9</f>
        <v>340000</v>
      </c>
      <c r="I7" s="936">
        <f>+I8+I9</f>
        <v>23800.000000000004</v>
      </c>
      <c r="J7" s="937"/>
      <c r="K7" s="938">
        <f>+K8+K9</f>
        <v>120000</v>
      </c>
      <c r="L7" s="936">
        <f>+L8+L9</f>
        <v>8400</v>
      </c>
      <c r="M7" s="937"/>
    </row>
    <row r="8" spans="2:13" ht="18" customHeight="1">
      <c r="B8" s="780"/>
      <c r="C8" s="781"/>
      <c r="D8" s="782" t="s">
        <v>468</v>
      </c>
      <c r="E8" s="915"/>
      <c r="F8" s="915"/>
      <c r="G8" s="937"/>
      <c r="H8" s="915"/>
      <c r="I8" s="915"/>
      <c r="J8" s="937"/>
      <c r="K8" s="939"/>
      <c r="L8" s="915"/>
      <c r="M8" s="937"/>
    </row>
    <row r="9" spans="2:14" ht="25.5" customHeight="1">
      <c r="B9" s="780"/>
      <c r="C9" s="781"/>
      <c r="D9" s="782" t="s">
        <v>469</v>
      </c>
      <c r="E9" s="915">
        <v>341687.57</v>
      </c>
      <c r="F9" s="915">
        <f>(E9*0.07)</f>
        <v>23918.129900000004</v>
      </c>
      <c r="G9" s="937"/>
      <c r="H9" s="936">
        <v>340000</v>
      </c>
      <c r="I9" s="915">
        <f>(H9*0.07)</f>
        <v>23800.000000000004</v>
      </c>
      <c r="J9" s="937"/>
      <c r="K9" s="939">
        <v>120000</v>
      </c>
      <c r="L9" s="915">
        <f>+K9*0.07</f>
        <v>8400</v>
      </c>
      <c r="M9" s="937"/>
      <c r="N9" s="946" t="s">
        <v>925</v>
      </c>
    </row>
    <row r="10" spans="2:13" ht="28.5" customHeight="1">
      <c r="B10" s="777" t="s">
        <v>470</v>
      </c>
      <c r="C10" s="781"/>
      <c r="D10" s="783"/>
      <c r="E10" s="936">
        <f>+E11+E15</f>
        <v>136044.04</v>
      </c>
      <c r="F10" s="915">
        <f>+F11+F15</f>
        <v>9523.082800000002</v>
      </c>
      <c r="G10" s="937"/>
      <c r="H10" s="936">
        <f>+H11+H15</f>
        <v>140000</v>
      </c>
      <c r="I10" s="936">
        <f>+I11+I15</f>
        <v>9800.000000000002</v>
      </c>
      <c r="J10" s="937"/>
      <c r="K10" s="938">
        <f>+K11+K15</f>
        <v>0</v>
      </c>
      <c r="L10" s="936">
        <f>+L11+L15</f>
        <v>0</v>
      </c>
      <c r="M10" s="937"/>
    </row>
    <row r="11" spans="2:13" ht="30" customHeight="1">
      <c r="B11" s="780"/>
      <c r="C11" s="784" t="s">
        <v>471</v>
      </c>
      <c r="D11" s="782" t="s">
        <v>472</v>
      </c>
      <c r="E11" s="940">
        <f>+E12+E13+E14</f>
        <v>0</v>
      </c>
      <c r="F11" s="940">
        <f>+F12+F13+F14</f>
        <v>0</v>
      </c>
      <c r="G11" s="937"/>
      <c r="H11" s="940">
        <f>+H12+H13+H14</f>
        <v>0</v>
      </c>
      <c r="I11" s="940">
        <f>+I12+I13+I14</f>
        <v>0</v>
      </c>
      <c r="J11" s="937"/>
      <c r="K11" s="941">
        <f>+K12+K13+K14</f>
        <v>0</v>
      </c>
      <c r="L11" s="940">
        <f>+L12+L13+L14</f>
        <v>0</v>
      </c>
      <c r="M11" s="937"/>
    </row>
    <row r="12" spans="2:13" ht="18" customHeight="1">
      <c r="B12" s="780"/>
      <c r="C12" s="785"/>
      <c r="D12" s="782"/>
      <c r="E12" s="915"/>
      <c r="F12" s="915"/>
      <c r="G12" s="937"/>
      <c r="H12" s="915"/>
      <c r="I12" s="915"/>
      <c r="J12" s="937"/>
      <c r="K12" s="939"/>
      <c r="L12" s="915"/>
      <c r="M12" s="937"/>
    </row>
    <row r="13" spans="2:13" ht="18" customHeight="1">
      <c r="B13" s="780"/>
      <c r="C13" s="785"/>
      <c r="D13" s="782"/>
      <c r="E13" s="915"/>
      <c r="F13" s="915"/>
      <c r="G13" s="937"/>
      <c r="H13" s="915"/>
      <c r="I13" s="915"/>
      <c r="J13" s="937"/>
      <c r="K13" s="939"/>
      <c r="L13" s="915"/>
      <c r="M13" s="937"/>
    </row>
    <row r="14" spans="2:13" ht="18" customHeight="1">
      <c r="B14" s="780"/>
      <c r="C14" s="785"/>
      <c r="D14" s="782"/>
      <c r="E14" s="915"/>
      <c r="F14" s="915"/>
      <c r="G14" s="937"/>
      <c r="H14" s="915"/>
      <c r="I14" s="915"/>
      <c r="J14" s="937"/>
      <c r="K14" s="939"/>
      <c r="L14" s="915"/>
      <c r="M14" s="937"/>
    </row>
    <row r="15" spans="2:13" ht="26.25" customHeight="1">
      <c r="B15" s="780"/>
      <c r="C15" s="784" t="s">
        <v>471</v>
      </c>
      <c r="D15" s="782" t="s">
        <v>473</v>
      </c>
      <c r="E15" s="940">
        <f>+E16+E17+E18</f>
        <v>136044.04</v>
      </c>
      <c r="F15" s="940">
        <f>+F16+F17+F18</f>
        <v>9523.082800000002</v>
      </c>
      <c r="G15" s="937"/>
      <c r="H15" s="940">
        <f>+H16+H17+H18</f>
        <v>140000</v>
      </c>
      <c r="I15" s="940">
        <f>+I16+I17+I18</f>
        <v>9800.000000000002</v>
      </c>
      <c r="J15" s="937"/>
      <c r="K15" s="941">
        <f>+K16+K17+K18</f>
        <v>0</v>
      </c>
      <c r="L15" s="940">
        <f>+L16+L17+L18</f>
        <v>0</v>
      </c>
      <c r="M15" s="937"/>
    </row>
    <row r="16" spans="2:13" ht="18" customHeight="1">
      <c r="B16" s="780"/>
      <c r="C16" s="785"/>
      <c r="D16" s="782"/>
      <c r="E16" s="915">
        <v>136044.04</v>
      </c>
      <c r="F16" s="915">
        <f>(E16*0.07)</f>
        <v>9523.082800000002</v>
      </c>
      <c r="G16" s="937"/>
      <c r="H16" s="936">
        <v>140000</v>
      </c>
      <c r="I16" s="915">
        <f>(H16*0.07)</f>
        <v>9800.000000000002</v>
      </c>
      <c r="J16" s="937"/>
      <c r="K16" s="939"/>
      <c r="L16" s="915"/>
      <c r="M16" s="937"/>
    </row>
    <row r="17" spans="2:13" ht="18" customHeight="1">
      <c r="B17" s="780"/>
      <c r="C17" s="785"/>
      <c r="D17" s="782"/>
      <c r="E17" s="915"/>
      <c r="F17" s="915"/>
      <c r="G17" s="937"/>
      <c r="H17" s="915"/>
      <c r="I17" s="915"/>
      <c r="J17" s="937"/>
      <c r="K17" s="939"/>
      <c r="L17" s="915"/>
      <c r="M17" s="937"/>
    </row>
    <row r="18" spans="2:13" ht="18" customHeight="1">
      <c r="B18" s="780"/>
      <c r="C18" s="781"/>
      <c r="D18" s="783"/>
      <c r="E18" s="915"/>
      <c r="F18" s="915"/>
      <c r="G18" s="937"/>
      <c r="H18" s="915"/>
      <c r="I18" s="915"/>
      <c r="J18" s="937"/>
      <c r="K18" s="939"/>
      <c r="L18" s="915"/>
      <c r="M18" s="937"/>
    </row>
    <row r="19" spans="2:13" ht="18" customHeight="1">
      <c r="B19" s="777" t="s">
        <v>474</v>
      </c>
      <c r="C19" s="781"/>
      <c r="D19" s="783"/>
      <c r="E19" s="936">
        <f>+E20+E24+E28+E29</f>
        <v>1490241.94</v>
      </c>
      <c r="F19" s="936">
        <f>+F20+F24+F28+F29</f>
        <v>104316.9358</v>
      </c>
      <c r="G19" s="937"/>
      <c r="H19" s="936">
        <f>+H20+H24+H28+H29</f>
        <v>1048419.3</v>
      </c>
      <c r="I19" s="936">
        <f>+I20+I24+I28+I29</f>
        <v>73389.35100000001</v>
      </c>
      <c r="J19" s="937"/>
      <c r="K19" s="938">
        <f>+K20+K24+K28+K29</f>
        <v>1224929.24</v>
      </c>
      <c r="L19" s="936">
        <f>+L20+L24+L28+L29</f>
        <v>85745.04680000001</v>
      </c>
      <c r="M19" s="937"/>
    </row>
    <row r="20" spans="2:13" ht="20.25" customHeight="1">
      <c r="B20" s="777"/>
      <c r="C20" s="785" t="s">
        <v>475</v>
      </c>
      <c r="D20" s="782" t="s">
        <v>476</v>
      </c>
      <c r="E20" s="940">
        <f>+E21+E22+E23</f>
        <v>0</v>
      </c>
      <c r="F20" s="940">
        <f>+F21+F22+F23</f>
        <v>0</v>
      </c>
      <c r="G20" s="937"/>
      <c r="H20" s="940">
        <f>+H21+H22+H23</f>
        <v>0</v>
      </c>
      <c r="I20" s="940">
        <f>+I21+I22+I23</f>
        <v>0</v>
      </c>
      <c r="J20" s="937"/>
      <c r="K20" s="941">
        <f>+K21+K22+K23</f>
        <v>0</v>
      </c>
      <c r="L20" s="940">
        <f>+L21+L22+L23</f>
        <v>0</v>
      </c>
      <c r="M20" s="937"/>
    </row>
    <row r="21" spans="2:13" ht="18" customHeight="1">
      <c r="B21" s="777"/>
      <c r="C21" s="781"/>
      <c r="D21" s="783"/>
      <c r="E21" s="915"/>
      <c r="F21" s="915"/>
      <c r="G21" s="937"/>
      <c r="H21" s="915"/>
      <c r="I21" s="915"/>
      <c r="J21" s="937"/>
      <c r="K21" s="939"/>
      <c r="L21" s="915"/>
      <c r="M21" s="937"/>
    </row>
    <row r="22" spans="2:13" ht="18" customHeight="1">
      <c r="B22" s="777"/>
      <c r="C22" s="781"/>
      <c r="D22" s="783"/>
      <c r="E22" s="915"/>
      <c r="F22" s="915"/>
      <c r="G22" s="937"/>
      <c r="H22" s="915"/>
      <c r="I22" s="915"/>
      <c r="J22" s="937"/>
      <c r="K22" s="939"/>
      <c r="L22" s="915"/>
      <c r="M22" s="937"/>
    </row>
    <row r="23" spans="2:13" ht="18" customHeight="1">
      <c r="B23" s="777"/>
      <c r="C23" s="781"/>
      <c r="D23" s="783"/>
      <c r="E23" s="915"/>
      <c r="F23" s="915"/>
      <c r="G23" s="937"/>
      <c r="H23" s="915"/>
      <c r="I23" s="915"/>
      <c r="J23" s="937"/>
      <c r="K23" s="939"/>
      <c r="L23" s="915"/>
      <c r="M23" s="937"/>
    </row>
    <row r="24" spans="2:13" ht="25.5" customHeight="1">
      <c r="B24" s="777"/>
      <c r="C24" s="785" t="s">
        <v>475</v>
      </c>
      <c r="D24" s="782" t="s">
        <v>477</v>
      </c>
      <c r="E24" s="940">
        <f>+E25+E26+E27</f>
        <v>697586.62</v>
      </c>
      <c r="F24" s="940">
        <f>+F25+F26+F27</f>
        <v>48831.06340000001</v>
      </c>
      <c r="G24" s="937"/>
      <c r="H24" s="940">
        <f>+H25+H26+H27</f>
        <v>0</v>
      </c>
      <c r="I24" s="940">
        <f>+I25+I26+I27</f>
        <v>0</v>
      </c>
      <c r="J24" s="937"/>
      <c r="K24" s="941">
        <f>+K25+K26+K27</f>
        <v>418000</v>
      </c>
      <c r="L24" s="940">
        <f>+L25+L26+L27</f>
        <v>29260.000000000004</v>
      </c>
      <c r="M24" s="937"/>
    </row>
    <row r="25" spans="2:18" ht="18" customHeight="1">
      <c r="B25" s="777"/>
      <c r="C25" s="781"/>
      <c r="D25" s="783"/>
      <c r="E25" s="915">
        <v>697586.62</v>
      </c>
      <c r="F25" s="915">
        <f>(E25*0.07)</f>
        <v>48831.06340000001</v>
      </c>
      <c r="G25" s="937"/>
      <c r="H25" s="915"/>
      <c r="I25" s="915"/>
      <c r="J25" s="937"/>
      <c r="K25" s="939">
        <f>400000+18000</f>
        <v>418000</v>
      </c>
      <c r="L25" s="915">
        <f>+K25*0.07</f>
        <v>29260.000000000004</v>
      </c>
      <c r="M25" s="937"/>
      <c r="N25" s="946" t="s">
        <v>926</v>
      </c>
      <c r="O25" s="947"/>
      <c r="P25" s="947"/>
      <c r="Q25" s="947"/>
      <c r="R25" s="947"/>
    </row>
    <row r="26" spans="2:13" ht="18" customHeight="1">
      <c r="B26" s="777"/>
      <c r="C26" s="781"/>
      <c r="D26" s="783"/>
      <c r="E26" s="915"/>
      <c r="F26" s="915"/>
      <c r="G26" s="937"/>
      <c r="H26" s="915"/>
      <c r="I26" s="915"/>
      <c r="J26" s="937"/>
      <c r="K26" s="939"/>
      <c r="L26" s="915"/>
      <c r="M26" s="937"/>
    </row>
    <row r="27" spans="2:13" ht="18" customHeight="1">
      <c r="B27" s="777"/>
      <c r="C27" s="781"/>
      <c r="D27" s="783"/>
      <c r="E27" s="915"/>
      <c r="F27" s="915"/>
      <c r="G27" s="937"/>
      <c r="H27" s="915"/>
      <c r="I27" s="915"/>
      <c r="J27" s="937"/>
      <c r="K27" s="939"/>
      <c r="L27" s="915"/>
      <c r="M27" s="937"/>
    </row>
    <row r="28" spans="2:13" ht="18" customHeight="1">
      <c r="B28" s="777"/>
      <c r="C28" s="785" t="s">
        <v>478</v>
      </c>
      <c r="D28" s="782" t="s">
        <v>479</v>
      </c>
      <c r="E28" s="915"/>
      <c r="F28" s="915"/>
      <c r="G28" s="937"/>
      <c r="H28" s="915"/>
      <c r="I28" s="915"/>
      <c r="J28" s="937"/>
      <c r="K28" s="939"/>
      <c r="L28" s="915"/>
      <c r="M28" s="937"/>
    </row>
    <row r="29" spans="2:14" ht="28.5" customHeight="1">
      <c r="B29" s="777"/>
      <c r="C29" s="785"/>
      <c r="D29" s="782" t="s">
        <v>480</v>
      </c>
      <c r="E29" s="915">
        <v>792655.32</v>
      </c>
      <c r="F29" s="915">
        <f>(E29*0.07)</f>
        <v>55485.8724</v>
      </c>
      <c r="G29" s="937"/>
      <c r="H29" s="936">
        <f>733809.68+314609.62</f>
        <v>1048419.3</v>
      </c>
      <c r="I29" s="915">
        <f>(H29*0.07)</f>
        <v>73389.35100000001</v>
      </c>
      <c r="J29" s="937"/>
      <c r="K29" s="939">
        <f>691929.24+30000+15000+70000</f>
        <v>806929.24</v>
      </c>
      <c r="L29" s="915">
        <f>+K29*0.07</f>
        <v>56485.046800000004</v>
      </c>
      <c r="M29" s="937"/>
      <c r="N29" s="946" t="s">
        <v>927</v>
      </c>
    </row>
    <row r="30" spans="2:16" s="786" customFormat="1" ht="22.5" customHeight="1" thickBot="1">
      <c r="B30" s="1154" t="s">
        <v>481</v>
      </c>
      <c r="C30" s="1155"/>
      <c r="D30" s="1155"/>
      <c r="E30" s="942">
        <f>+E19+E10+E7</f>
        <v>1967973.55</v>
      </c>
      <c r="F30" s="942">
        <f>+F19+F10+F7</f>
        <v>137758.1485</v>
      </c>
      <c r="G30" s="943"/>
      <c r="H30" s="942">
        <f>+H19+H10+H7</f>
        <v>1528419.3</v>
      </c>
      <c r="I30" s="942">
        <f>+I19+I10+I7</f>
        <v>106989.35100000001</v>
      </c>
      <c r="J30" s="943"/>
      <c r="K30" s="944">
        <f>+K19+K10+K7</f>
        <v>1344929.24</v>
      </c>
      <c r="L30" s="942">
        <f>+L19+L10+L7</f>
        <v>94145.04680000001</v>
      </c>
      <c r="M30" s="945"/>
      <c r="O30" s="787">
        <f>+I30-CPYG!D7</f>
        <v>-1421429.949</v>
      </c>
      <c r="P30" s="787">
        <f>+L30-CPYG!E7</f>
        <v>-1250784.1932</v>
      </c>
    </row>
    <row r="31" spans="2:12" ht="9" customHeight="1">
      <c r="B31" s="1153"/>
      <c r="C31" s="1153"/>
      <c r="D31" s="1153"/>
      <c r="E31" s="1153"/>
      <c r="F31" s="1153"/>
      <c r="G31" s="1153"/>
      <c r="H31" s="1153"/>
      <c r="I31" s="1153"/>
      <c r="J31" s="1153"/>
      <c r="K31" s="1153"/>
      <c r="L31" s="1153"/>
    </row>
    <row r="32" spans="2:13" ht="33" customHeight="1" thickBot="1">
      <c r="B32" s="1118" t="s">
        <v>482</v>
      </c>
      <c r="C32" s="1119"/>
      <c r="D32" s="1119"/>
      <c r="E32" s="1119"/>
      <c r="F32" s="1120"/>
      <c r="G32" s="776" t="s">
        <v>498</v>
      </c>
      <c r="H32" s="776" t="s">
        <v>463</v>
      </c>
      <c r="I32" s="806" t="s">
        <v>464</v>
      </c>
      <c r="J32" s="1175" t="s">
        <v>589</v>
      </c>
      <c r="K32" s="1176"/>
      <c r="L32" s="1176"/>
      <c r="M32" s="1177"/>
    </row>
    <row r="33" spans="2:13" ht="15" customHeight="1">
      <c r="B33" s="1156" t="s">
        <v>491</v>
      </c>
      <c r="C33" s="1157"/>
      <c r="D33" s="1157"/>
      <c r="E33" s="1157"/>
      <c r="F33" s="1158"/>
      <c r="G33" s="798">
        <f>SUM(G34:G36)</f>
        <v>16741.34</v>
      </c>
      <c r="H33" s="798">
        <f>SUM(H34:H36)</f>
        <v>38626.55</v>
      </c>
      <c r="I33" s="798">
        <f>SUM(I34:I36)</f>
        <v>0</v>
      </c>
      <c r="J33" s="1178"/>
      <c r="K33" s="1179"/>
      <c r="L33" s="1179"/>
      <c r="M33" s="1180"/>
    </row>
    <row r="34" spans="2:13" ht="15" customHeight="1">
      <c r="B34" s="1147"/>
      <c r="C34" s="1148"/>
      <c r="D34" s="1148"/>
      <c r="E34" s="1148"/>
      <c r="F34" s="1149"/>
      <c r="G34" s="807">
        <v>16741.34</v>
      </c>
      <c r="H34" s="799">
        <v>38626.55</v>
      </c>
      <c r="I34" s="799">
        <v>0</v>
      </c>
      <c r="J34" s="1172"/>
      <c r="K34" s="1173"/>
      <c r="L34" s="1173"/>
      <c r="M34" s="1174"/>
    </row>
    <row r="35" spans="2:13" ht="15" customHeight="1">
      <c r="B35" s="1135"/>
      <c r="C35" s="1136"/>
      <c r="D35" s="1136"/>
      <c r="E35" s="1136"/>
      <c r="F35" s="1137"/>
      <c r="G35" s="808"/>
      <c r="H35" s="800"/>
      <c r="I35" s="800"/>
      <c r="J35" s="1150"/>
      <c r="K35" s="1151"/>
      <c r="L35" s="1151"/>
      <c r="M35" s="1152"/>
    </row>
    <row r="36" spans="2:13" ht="15" customHeight="1">
      <c r="B36" s="1138"/>
      <c r="C36" s="1139"/>
      <c r="D36" s="1139"/>
      <c r="E36" s="1139"/>
      <c r="F36" s="1140"/>
      <c r="G36" s="809"/>
      <c r="H36" s="801"/>
      <c r="I36" s="801"/>
      <c r="J36" s="1132"/>
      <c r="K36" s="1133"/>
      <c r="L36" s="1133"/>
      <c r="M36" s="1134"/>
    </row>
    <row r="37" spans="2:13" ht="15" customHeight="1">
      <c r="B37" s="1181" t="s">
        <v>492</v>
      </c>
      <c r="C37" s="1182"/>
      <c r="D37" s="1182"/>
      <c r="E37" s="1182"/>
      <c r="F37" s="1183"/>
      <c r="G37" s="798">
        <f>+G38+G39+G40</f>
        <v>-11663.24</v>
      </c>
      <c r="H37" s="798">
        <f>+H38+H39+H40</f>
        <v>-5830.6</v>
      </c>
      <c r="I37" s="805">
        <f>+I38+I39+I40</f>
        <v>0</v>
      </c>
      <c r="J37" s="1178"/>
      <c r="K37" s="1179"/>
      <c r="L37" s="1179"/>
      <c r="M37" s="1180"/>
    </row>
    <row r="38" spans="2:13" ht="15" customHeight="1">
      <c r="B38" s="1147"/>
      <c r="C38" s="1148"/>
      <c r="D38" s="1148"/>
      <c r="E38" s="1148"/>
      <c r="F38" s="1149"/>
      <c r="G38" s="807">
        <v>-11663.24</v>
      </c>
      <c r="H38" s="799">
        <v>-5830.6</v>
      </c>
      <c r="I38" s="799">
        <v>0</v>
      </c>
      <c r="J38" s="1172"/>
      <c r="K38" s="1173"/>
      <c r="L38" s="1173"/>
      <c r="M38" s="1174"/>
    </row>
    <row r="39" spans="2:13" ht="15" customHeight="1">
      <c r="B39" s="1135"/>
      <c r="C39" s="1136"/>
      <c r="D39" s="1136"/>
      <c r="E39" s="1136"/>
      <c r="F39" s="1137"/>
      <c r="G39" s="808"/>
      <c r="H39" s="800"/>
      <c r="I39" s="800"/>
      <c r="J39" s="1150"/>
      <c r="K39" s="1151"/>
      <c r="L39" s="1151"/>
      <c r="M39" s="1152"/>
    </row>
    <row r="40" spans="2:13" ht="15" customHeight="1">
      <c r="B40" s="1138"/>
      <c r="C40" s="1139"/>
      <c r="D40" s="1139"/>
      <c r="E40" s="1139"/>
      <c r="F40" s="1140"/>
      <c r="G40" s="809"/>
      <c r="H40" s="801"/>
      <c r="I40" s="801"/>
      <c r="J40" s="1132"/>
      <c r="K40" s="1133"/>
      <c r="L40" s="1133"/>
      <c r="M40" s="1134"/>
    </row>
    <row r="41" spans="2:10" ht="6" customHeight="1">
      <c r="B41" s="792"/>
      <c r="C41" s="792"/>
      <c r="D41" s="792"/>
      <c r="E41" s="792"/>
      <c r="F41" s="792"/>
      <c r="G41" s="802"/>
      <c r="H41" s="802"/>
      <c r="I41" s="802"/>
      <c r="J41" s="788"/>
    </row>
    <row r="42" spans="2:13" ht="26.25" customHeight="1" thickBot="1">
      <c r="B42" s="1118" t="s">
        <v>483</v>
      </c>
      <c r="C42" s="1119"/>
      <c r="D42" s="1119"/>
      <c r="E42" s="1119"/>
      <c r="F42" s="1120"/>
      <c r="G42" s="776" t="s">
        <v>498</v>
      </c>
      <c r="H42" s="776" t="s">
        <v>463</v>
      </c>
      <c r="I42" s="806" t="s">
        <v>464</v>
      </c>
      <c r="J42" s="1124" t="s">
        <v>589</v>
      </c>
      <c r="K42" s="1125"/>
      <c r="L42" s="1125"/>
      <c r="M42" s="1126"/>
    </row>
    <row r="43" spans="2:13" ht="15" customHeight="1">
      <c r="B43" s="1121" t="s">
        <v>484</v>
      </c>
      <c r="C43" s="1122"/>
      <c r="D43" s="1122"/>
      <c r="E43" s="1122"/>
      <c r="F43" s="1123"/>
      <c r="G43" s="803">
        <v>0</v>
      </c>
      <c r="H43" s="803"/>
      <c r="I43" s="803"/>
      <c r="J43" s="1127"/>
      <c r="K43" s="1128"/>
      <c r="L43" s="1128"/>
      <c r="M43" s="1129"/>
    </row>
    <row r="44" spans="2:13" ht="15" customHeight="1">
      <c r="B44" s="1141" t="s">
        <v>485</v>
      </c>
      <c r="C44" s="1142"/>
      <c r="D44" s="1142"/>
      <c r="E44" s="1142"/>
      <c r="F44" s="1143"/>
      <c r="G44" s="804">
        <v>-103.76</v>
      </c>
      <c r="H44" s="804">
        <v>0</v>
      </c>
      <c r="I44" s="804"/>
      <c r="J44" s="1144"/>
      <c r="K44" s="1145"/>
      <c r="L44" s="1145"/>
      <c r="M44" s="1146"/>
    </row>
    <row r="48" spans="2:3" ht="12.75">
      <c r="B48" s="789" t="s">
        <v>486</v>
      </c>
      <c r="C48" s="790" t="s">
        <v>487</v>
      </c>
    </row>
    <row r="49" spans="2:13" ht="27.75" customHeight="1">
      <c r="B49" s="789" t="s">
        <v>488</v>
      </c>
      <c r="C49" s="1117" t="s">
        <v>493</v>
      </c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</row>
    <row r="50" spans="2:13" s="791" customFormat="1" ht="24" customHeight="1">
      <c r="B50" s="789" t="s">
        <v>489</v>
      </c>
      <c r="C50" s="1117" t="s">
        <v>494</v>
      </c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</row>
  </sheetData>
  <sheetProtection/>
  <mergeCells count="35">
    <mergeCell ref="B38:F38"/>
    <mergeCell ref="J38:M38"/>
    <mergeCell ref="J32:M32"/>
    <mergeCell ref="J33:M33"/>
    <mergeCell ref="J34:M34"/>
    <mergeCell ref="J35:M35"/>
    <mergeCell ref="J36:M36"/>
    <mergeCell ref="J37:M37"/>
    <mergeCell ref="B37:F37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E5:G5"/>
    <mergeCell ref="J40:M40"/>
    <mergeCell ref="B39:F39"/>
    <mergeCell ref="B40:F40"/>
    <mergeCell ref="B44:F44"/>
    <mergeCell ref="J44:M44"/>
    <mergeCell ref="B34:F34"/>
    <mergeCell ref="B35:F35"/>
    <mergeCell ref="B36:F36"/>
    <mergeCell ref="J39:M39"/>
    <mergeCell ref="C50:M50"/>
    <mergeCell ref="C49:M49"/>
    <mergeCell ref="B42:F42"/>
    <mergeCell ref="B43:F43"/>
    <mergeCell ref="J42:M42"/>
    <mergeCell ref="J43:M4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31"/>
  <sheetViews>
    <sheetView zoomScale="75" zoomScaleNormal="75" zoomScalePageLayoutView="0" workbookViewId="0" topLeftCell="A1">
      <selection activeCell="E29" sqref="E29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0.421875" style="133" customWidth="1"/>
    <col min="7" max="7" width="14.140625" style="133" customWidth="1"/>
    <col min="8" max="8" width="12.003906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1059" t="s">
        <v>322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59">
        <v>2017</v>
      </c>
      <c r="P2" s="1060"/>
      <c r="Q2" s="1187"/>
    </row>
    <row r="3" spans="2:17" ht="15.75" customHeight="1">
      <c r="B3" s="1188" t="s">
        <v>343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8"/>
      <c r="P3" s="1189"/>
      <c r="Q3" s="1190"/>
    </row>
    <row r="4" spans="2:17" ht="19.5" customHeight="1" thickBot="1">
      <c r="B4" s="1198" t="str">
        <f>CPYG!B3</f>
        <v>ENTIDAD: SPET</v>
      </c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84" t="s">
        <v>323</v>
      </c>
      <c r="P4" s="1185"/>
      <c r="Q4" s="1186"/>
    </row>
    <row r="5" spans="2:17" ht="23.25" customHeight="1">
      <c r="B5" s="1191" t="s">
        <v>324</v>
      </c>
      <c r="C5" s="1192"/>
      <c r="D5" s="215"/>
      <c r="E5" s="215"/>
      <c r="F5" s="215"/>
      <c r="G5" s="216"/>
      <c r="H5" s="1191" t="s">
        <v>325</v>
      </c>
      <c r="I5" s="1192"/>
      <c r="J5" s="1192"/>
      <c r="K5" s="1192"/>
      <c r="L5" s="1193"/>
      <c r="M5" s="1194" t="s">
        <v>506</v>
      </c>
      <c r="N5" s="1195"/>
      <c r="O5" s="1195"/>
      <c r="P5" s="1195"/>
      <c r="Q5" s="1196"/>
    </row>
    <row r="6" spans="2:17" ht="53.25" customHeight="1" thickBot="1">
      <c r="B6" s="217" t="s">
        <v>326</v>
      </c>
      <c r="C6" s="218" t="s">
        <v>327</v>
      </c>
      <c r="D6" s="219" t="s">
        <v>328</v>
      </c>
      <c r="E6" s="219" t="s">
        <v>329</v>
      </c>
      <c r="F6" s="219" t="s">
        <v>330</v>
      </c>
      <c r="G6" s="220" t="s">
        <v>501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331</v>
      </c>
      <c r="M6" s="811">
        <v>2017</v>
      </c>
      <c r="N6" s="811">
        <v>2018</v>
      </c>
      <c r="O6" s="811">
        <v>2019</v>
      </c>
      <c r="P6" s="811">
        <v>2020</v>
      </c>
      <c r="Q6" s="812" t="s">
        <v>331</v>
      </c>
    </row>
    <row r="7" spans="2:17" ht="19.5" customHeight="1">
      <c r="B7" s="601"/>
      <c r="C7" s="602"/>
      <c r="D7" s="602"/>
      <c r="E7" s="602"/>
      <c r="F7" s="603"/>
      <c r="G7" s="604"/>
      <c r="H7" s="605"/>
      <c r="I7" s="603"/>
      <c r="J7" s="603"/>
      <c r="K7" s="603"/>
      <c r="L7" s="604"/>
      <c r="M7" s="605"/>
      <c r="N7" s="603"/>
      <c r="O7" s="603"/>
      <c r="P7" s="603"/>
      <c r="Q7" s="604"/>
    </row>
    <row r="8" spans="2:17" ht="19.5" customHeight="1">
      <c r="B8" s="606"/>
      <c r="C8" s="607"/>
      <c r="D8" s="607"/>
      <c r="E8" s="607"/>
      <c r="F8" s="608"/>
      <c r="G8" s="609"/>
      <c r="H8" s="610"/>
      <c r="I8" s="608"/>
      <c r="J8" s="608"/>
      <c r="K8" s="608"/>
      <c r="L8" s="609"/>
      <c r="M8" s="610"/>
      <c r="N8" s="608"/>
      <c r="O8" s="608"/>
      <c r="P8" s="608"/>
      <c r="Q8" s="609"/>
    </row>
    <row r="9" spans="2:17" ht="19.5" customHeight="1">
      <c r="B9" s="606"/>
      <c r="C9" s="607"/>
      <c r="D9" s="607"/>
      <c r="E9" s="607"/>
      <c r="F9" s="608"/>
      <c r="G9" s="609"/>
      <c r="H9" s="610"/>
      <c r="I9" s="608"/>
      <c r="J9" s="608"/>
      <c r="K9" s="608"/>
      <c r="L9" s="609"/>
      <c r="M9" s="610"/>
      <c r="N9" s="608"/>
      <c r="O9" s="608"/>
      <c r="P9" s="608"/>
      <c r="Q9" s="609"/>
    </row>
    <row r="10" spans="2:17" ht="19.5" customHeight="1">
      <c r="B10" s="606"/>
      <c r="C10" s="607"/>
      <c r="D10" s="607"/>
      <c r="E10" s="607"/>
      <c r="F10" s="608"/>
      <c r="G10" s="609"/>
      <c r="H10" s="610"/>
      <c r="I10" s="608"/>
      <c r="J10" s="608"/>
      <c r="K10" s="608"/>
      <c r="L10" s="609"/>
      <c r="M10" s="610"/>
      <c r="N10" s="608"/>
      <c r="O10" s="608"/>
      <c r="P10" s="608"/>
      <c r="Q10" s="609"/>
    </row>
    <row r="11" spans="2:17" ht="19.5" customHeight="1">
      <c r="B11" s="606"/>
      <c r="C11" s="607"/>
      <c r="D11" s="607"/>
      <c r="E11" s="607"/>
      <c r="F11" s="608"/>
      <c r="G11" s="609"/>
      <c r="H11" s="610"/>
      <c r="I11" s="608"/>
      <c r="J11" s="608"/>
      <c r="K11" s="608"/>
      <c r="L11" s="609"/>
      <c r="M11" s="610"/>
      <c r="N11" s="608"/>
      <c r="O11" s="608"/>
      <c r="P11" s="608"/>
      <c r="Q11" s="609"/>
    </row>
    <row r="12" spans="2:17" ht="19.5" customHeight="1">
      <c r="B12" s="606"/>
      <c r="C12" s="607"/>
      <c r="D12" s="607"/>
      <c r="E12" s="607"/>
      <c r="F12" s="608"/>
      <c r="G12" s="609"/>
      <c r="H12" s="610"/>
      <c r="I12" s="608"/>
      <c r="J12" s="608"/>
      <c r="K12" s="608"/>
      <c r="L12" s="609"/>
      <c r="M12" s="610"/>
      <c r="N12" s="608"/>
      <c r="O12" s="608"/>
      <c r="P12" s="608"/>
      <c r="Q12" s="609"/>
    </row>
    <row r="13" spans="2:17" ht="19.5" customHeight="1">
      <c r="B13" s="606"/>
      <c r="C13" s="607"/>
      <c r="D13" s="607"/>
      <c r="E13" s="607"/>
      <c r="F13" s="608"/>
      <c r="G13" s="609"/>
      <c r="H13" s="610"/>
      <c r="I13" s="608"/>
      <c r="J13" s="608"/>
      <c r="K13" s="608"/>
      <c r="L13" s="609"/>
      <c r="M13" s="610"/>
      <c r="N13" s="608"/>
      <c r="O13" s="608"/>
      <c r="P13" s="608"/>
      <c r="Q13" s="609"/>
    </row>
    <row r="14" spans="2:17" ht="19.5" customHeight="1">
      <c r="B14" s="606"/>
      <c r="C14" s="607"/>
      <c r="D14" s="607"/>
      <c r="E14" s="607"/>
      <c r="F14" s="608"/>
      <c r="G14" s="609"/>
      <c r="H14" s="610"/>
      <c r="I14" s="608"/>
      <c r="J14" s="608"/>
      <c r="K14" s="608"/>
      <c r="L14" s="609"/>
      <c r="M14" s="610"/>
      <c r="N14" s="608"/>
      <c r="O14" s="608"/>
      <c r="P14" s="608"/>
      <c r="Q14" s="609"/>
    </row>
    <row r="15" spans="2:17" ht="19.5" customHeight="1">
      <c r="B15" s="606"/>
      <c r="C15" s="607"/>
      <c r="D15" s="607"/>
      <c r="E15" s="607"/>
      <c r="F15" s="608"/>
      <c r="G15" s="609"/>
      <c r="H15" s="610"/>
      <c r="I15" s="608"/>
      <c r="J15" s="608"/>
      <c r="K15" s="608"/>
      <c r="L15" s="609"/>
      <c r="M15" s="610"/>
      <c r="N15" s="608"/>
      <c r="O15" s="608"/>
      <c r="P15" s="608"/>
      <c r="Q15" s="609"/>
    </row>
    <row r="16" spans="2:17" ht="19.5" customHeight="1">
      <c r="B16" s="606"/>
      <c r="C16" s="607"/>
      <c r="D16" s="607"/>
      <c r="E16" s="607"/>
      <c r="F16" s="608"/>
      <c r="G16" s="609"/>
      <c r="H16" s="610"/>
      <c r="I16" s="608"/>
      <c r="J16" s="608"/>
      <c r="K16" s="608"/>
      <c r="L16" s="609"/>
      <c r="M16" s="610"/>
      <c r="N16" s="608"/>
      <c r="O16" s="608"/>
      <c r="P16" s="608"/>
      <c r="Q16" s="609"/>
    </row>
    <row r="17" spans="2:17" ht="19.5" customHeight="1">
      <c r="B17" s="606"/>
      <c r="C17" s="607"/>
      <c r="D17" s="607"/>
      <c r="E17" s="607"/>
      <c r="F17" s="608"/>
      <c r="G17" s="609"/>
      <c r="H17" s="610"/>
      <c r="I17" s="608"/>
      <c r="J17" s="608"/>
      <c r="K17" s="608"/>
      <c r="L17" s="609"/>
      <c r="M17" s="610"/>
      <c r="N17" s="608"/>
      <c r="O17" s="608"/>
      <c r="P17" s="608"/>
      <c r="Q17" s="609"/>
    </row>
    <row r="18" spans="2:17" ht="19.5" customHeight="1">
      <c r="B18" s="606"/>
      <c r="C18" s="607"/>
      <c r="D18" s="607"/>
      <c r="E18" s="607"/>
      <c r="F18" s="608"/>
      <c r="G18" s="609"/>
      <c r="H18" s="610"/>
      <c r="I18" s="608"/>
      <c r="J18" s="608"/>
      <c r="K18" s="608"/>
      <c r="L18" s="609"/>
      <c r="M18" s="610"/>
      <c r="N18" s="608"/>
      <c r="O18" s="608"/>
      <c r="P18" s="608"/>
      <c r="Q18" s="609"/>
    </row>
    <row r="19" spans="2:17" ht="19.5" customHeight="1">
      <c r="B19" s="606"/>
      <c r="C19" s="607"/>
      <c r="D19" s="607"/>
      <c r="E19" s="607"/>
      <c r="F19" s="608"/>
      <c r="G19" s="609"/>
      <c r="H19" s="610"/>
      <c r="I19" s="608"/>
      <c r="J19" s="608"/>
      <c r="K19" s="608"/>
      <c r="L19" s="609"/>
      <c r="M19" s="610"/>
      <c r="N19" s="608"/>
      <c r="O19" s="608"/>
      <c r="P19" s="608"/>
      <c r="Q19" s="609"/>
    </row>
    <row r="20" spans="2:17" ht="19.5" customHeight="1">
      <c r="B20" s="606"/>
      <c r="C20" s="607"/>
      <c r="D20" s="607"/>
      <c r="E20" s="607"/>
      <c r="F20" s="608"/>
      <c r="G20" s="609"/>
      <c r="H20" s="610"/>
      <c r="I20" s="608"/>
      <c r="J20" s="608"/>
      <c r="K20" s="608"/>
      <c r="L20" s="609"/>
      <c r="M20" s="610"/>
      <c r="N20" s="608"/>
      <c r="O20" s="608"/>
      <c r="P20" s="608"/>
      <c r="Q20" s="609"/>
    </row>
    <row r="21" spans="2:17" ht="19.5" customHeight="1">
      <c r="B21" s="606"/>
      <c r="C21" s="607"/>
      <c r="D21" s="607"/>
      <c r="E21" s="607"/>
      <c r="F21" s="608"/>
      <c r="G21" s="609"/>
      <c r="H21" s="610"/>
      <c r="I21" s="608"/>
      <c r="J21" s="608"/>
      <c r="K21" s="608"/>
      <c r="L21" s="609"/>
      <c r="M21" s="610"/>
      <c r="N21" s="608"/>
      <c r="O21" s="608"/>
      <c r="P21" s="608"/>
      <c r="Q21" s="609"/>
    </row>
    <row r="22" spans="2:17" ht="19.5" customHeight="1">
      <c r="B22" s="606"/>
      <c r="C22" s="607"/>
      <c r="D22" s="607"/>
      <c r="E22" s="607"/>
      <c r="F22" s="608"/>
      <c r="G22" s="609"/>
      <c r="H22" s="610"/>
      <c r="I22" s="608"/>
      <c r="J22" s="608"/>
      <c r="K22" s="608"/>
      <c r="L22" s="609"/>
      <c r="M22" s="610"/>
      <c r="N22" s="608"/>
      <c r="O22" s="608"/>
      <c r="P22" s="608"/>
      <c r="Q22" s="609"/>
    </row>
    <row r="23" spans="2:17" ht="19.5" customHeight="1">
      <c r="B23" s="606"/>
      <c r="C23" s="607"/>
      <c r="D23" s="607"/>
      <c r="E23" s="607"/>
      <c r="F23" s="608"/>
      <c r="G23" s="609"/>
      <c r="H23" s="610"/>
      <c r="I23" s="608"/>
      <c r="J23" s="608"/>
      <c r="K23" s="608"/>
      <c r="L23" s="609"/>
      <c r="M23" s="610"/>
      <c r="N23" s="608"/>
      <c r="O23" s="608"/>
      <c r="P23" s="608"/>
      <c r="Q23" s="609"/>
    </row>
    <row r="24" spans="2:17" ht="19.5" customHeight="1">
      <c r="B24" s="606"/>
      <c r="C24" s="607"/>
      <c r="D24" s="607"/>
      <c r="E24" s="607"/>
      <c r="F24" s="608"/>
      <c r="G24" s="609"/>
      <c r="H24" s="610"/>
      <c r="I24" s="608"/>
      <c r="J24" s="608"/>
      <c r="K24" s="608"/>
      <c r="L24" s="609"/>
      <c r="M24" s="610"/>
      <c r="N24" s="608"/>
      <c r="O24" s="608"/>
      <c r="P24" s="608"/>
      <c r="Q24" s="609"/>
    </row>
    <row r="25" spans="2:17" ht="19.5" customHeight="1">
      <c r="B25" s="606"/>
      <c r="C25" s="607"/>
      <c r="D25" s="607"/>
      <c r="E25" s="607"/>
      <c r="F25" s="608"/>
      <c r="G25" s="609"/>
      <c r="H25" s="610"/>
      <c r="I25" s="608"/>
      <c r="J25" s="608"/>
      <c r="K25" s="608"/>
      <c r="L25" s="609"/>
      <c r="M25" s="610"/>
      <c r="N25" s="608"/>
      <c r="O25" s="608"/>
      <c r="P25" s="608"/>
      <c r="Q25" s="609"/>
    </row>
    <row r="26" spans="2:17" ht="19.5" customHeight="1">
      <c r="B26" s="606"/>
      <c r="C26" s="607"/>
      <c r="D26" s="607"/>
      <c r="E26" s="607"/>
      <c r="F26" s="608"/>
      <c r="G26" s="609"/>
      <c r="H26" s="610"/>
      <c r="I26" s="608"/>
      <c r="J26" s="608"/>
      <c r="K26" s="608"/>
      <c r="L26" s="609"/>
      <c r="M26" s="610"/>
      <c r="N26" s="608"/>
      <c r="O26" s="608"/>
      <c r="P26" s="608"/>
      <c r="Q26" s="609"/>
    </row>
    <row r="27" spans="2:17" ht="19.5" customHeight="1" thickBot="1">
      <c r="B27" s="611"/>
      <c r="C27" s="612"/>
      <c r="D27" s="612"/>
      <c r="E27" s="612"/>
      <c r="F27" s="613"/>
      <c r="G27" s="614"/>
      <c r="H27" s="615"/>
      <c r="I27" s="613"/>
      <c r="J27" s="613"/>
      <c r="K27" s="613"/>
      <c r="L27" s="614"/>
      <c r="M27" s="615"/>
      <c r="N27" s="613"/>
      <c r="O27" s="613"/>
      <c r="P27" s="613"/>
      <c r="Q27" s="614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332</v>
      </c>
    </row>
    <row r="30" spans="2:11" ht="12.75">
      <c r="B30" s="1197" t="s">
        <v>333</v>
      </c>
      <c r="C30" s="1197"/>
      <c r="D30" s="1197"/>
      <c r="E30" s="1197"/>
      <c r="F30" s="1197"/>
      <c r="G30" s="1197"/>
      <c r="H30" s="1197"/>
      <c r="I30" s="1197"/>
      <c r="J30" s="1197"/>
      <c r="K30" s="1197"/>
    </row>
    <row r="31" spans="2:10" ht="12.75">
      <c r="B31" s="1197" t="s">
        <v>334</v>
      </c>
      <c r="C31" s="1197"/>
      <c r="D31" s="1197"/>
      <c r="E31" s="1197"/>
      <c r="F31" s="1197"/>
      <c r="G31" s="1197"/>
      <c r="H31" s="1197"/>
      <c r="I31" s="1197"/>
      <c r="J31" s="1197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4"/>
  <sheetViews>
    <sheetView zoomScale="75" zoomScaleNormal="75" zoomScalePageLayoutView="0" workbookViewId="0" topLeftCell="A1">
      <selection activeCell="B29" sqref="B29:L29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15.281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209" t="s">
        <v>214</v>
      </c>
      <c r="C1" s="1210"/>
      <c r="D1" s="1210"/>
      <c r="E1" s="1210"/>
      <c r="F1" s="1210"/>
      <c r="G1" s="1210"/>
      <c r="H1" s="1210"/>
      <c r="I1" s="1210"/>
      <c r="J1" s="1210"/>
      <c r="K1" s="1211">
        <f>CPYG!E2</f>
        <v>2017</v>
      </c>
      <c r="L1" s="1212"/>
    </row>
    <row r="2" spans="2:12" ht="51" customHeight="1">
      <c r="B2" s="1216" t="str">
        <f>CPYG!B3</f>
        <v>ENTIDAD: SPET</v>
      </c>
      <c r="C2" s="1217"/>
      <c r="D2" s="1217"/>
      <c r="E2" s="1217"/>
      <c r="F2" s="1217"/>
      <c r="G2" s="1217"/>
      <c r="H2" s="1217"/>
      <c r="I2" s="1217"/>
      <c r="J2" s="1217"/>
      <c r="K2" s="1201" t="s">
        <v>201</v>
      </c>
      <c r="L2" s="1202"/>
    </row>
    <row r="3" spans="2:12" s="224" customFormat="1" ht="27" customHeight="1">
      <c r="B3" s="1213" t="s">
        <v>794</v>
      </c>
      <c r="C3" s="1214"/>
      <c r="D3" s="1214"/>
      <c r="E3" s="1214"/>
      <c r="F3" s="1214"/>
      <c r="G3" s="1214"/>
      <c r="H3" s="1214"/>
      <c r="I3" s="1214"/>
      <c r="J3" s="1214"/>
      <c r="K3" s="1214"/>
      <c r="L3" s="1215"/>
    </row>
    <row r="4" spans="2:12" ht="19.5" customHeight="1">
      <c r="B4" s="1206" t="s">
        <v>463</v>
      </c>
      <c r="C4" s="1207" t="s">
        <v>507</v>
      </c>
      <c r="D4" s="515"/>
      <c r="E4" s="1207"/>
      <c r="F4" s="1207"/>
      <c r="G4" s="1207"/>
      <c r="H4" s="1207"/>
      <c r="I4" s="1207"/>
      <c r="J4" s="1207"/>
      <c r="K4" s="1207" t="s">
        <v>676</v>
      </c>
      <c r="L4" s="1208" t="s">
        <v>415</v>
      </c>
    </row>
    <row r="5" spans="2:12" ht="64.5" customHeight="1">
      <c r="B5" s="1206"/>
      <c r="C5" s="1207"/>
      <c r="D5" s="515" t="s">
        <v>416</v>
      </c>
      <c r="E5" s="515" t="s">
        <v>617</v>
      </c>
      <c r="F5" s="515" t="s">
        <v>417</v>
      </c>
      <c r="G5" s="515" t="s">
        <v>685</v>
      </c>
      <c r="H5" s="515" t="s">
        <v>418</v>
      </c>
      <c r="I5" s="515" t="s">
        <v>419</v>
      </c>
      <c r="J5" s="515" t="s">
        <v>420</v>
      </c>
      <c r="K5" s="1207"/>
      <c r="L5" s="1208"/>
    </row>
    <row r="6" spans="2:12" ht="12.75">
      <c r="B6" s="1203"/>
      <c r="C6" s="1204"/>
      <c r="D6" s="1204"/>
      <c r="E6" s="1204"/>
      <c r="F6" s="1204"/>
      <c r="G6" s="1204"/>
      <c r="H6" s="1204"/>
      <c r="I6" s="1204"/>
      <c r="J6" s="1204"/>
      <c r="K6" s="1204"/>
      <c r="L6" s="1205"/>
    </row>
    <row r="7" spans="2:12" ht="33" customHeight="1">
      <c r="B7" s="516" t="s">
        <v>421</v>
      </c>
      <c r="C7" s="556">
        <v>57217.27</v>
      </c>
      <c r="D7" s="703">
        <f>2400+13748.69</f>
        <v>16148.69</v>
      </c>
      <c r="E7" s="703"/>
      <c r="F7" s="703"/>
      <c r="G7" s="703">
        <v>-34467.36</v>
      </c>
      <c r="H7" s="547"/>
      <c r="I7" s="547"/>
      <c r="J7" s="547"/>
      <c r="K7" s="556">
        <f>SUM(C7:J7)</f>
        <v>38898.59999999999</v>
      </c>
      <c r="L7" s="548"/>
    </row>
    <row r="8" spans="2:12" ht="39" customHeight="1">
      <c r="B8" s="516" t="s">
        <v>55</v>
      </c>
      <c r="C8" s="556">
        <v>842920.17</v>
      </c>
      <c r="D8" s="703">
        <f>3215.75+29529.86</f>
        <v>32745.61</v>
      </c>
      <c r="E8" s="703"/>
      <c r="F8" s="703"/>
      <c r="G8" s="703">
        <v>-65945.44</v>
      </c>
      <c r="H8" s="547"/>
      <c r="I8" s="547"/>
      <c r="J8" s="547"/>
      <c r="K8" s="556">
        <f>SUM(C8:J8)</f>
        <v>809720.3400000001</v>
      </c>
      <c r="L8" s="548"/>
    </row>
    <row r="9" spans="2:12" ht="45" customHeight="1">
      <c r="B9" s="517" t="s">
        <v>422</v>
      </c>
      <c r="C9" s="556"/>
      <c r="D9" s="547"/>
      <c r="E9" s="547"/>
      <c r="F9" s="547"/>
      <c r="G9" s="547"/>
      <c r="H9" s="547"/>
      <c r="I9" s="547"/>
      <c r="J9" s="547"/>
      <c r="K9" s="556">
        <f>SUM(C9:J9)</f>
        <v>0</v>
      </c>
      <c r="L9" s="549"/>
    </row>
    <row r="10" spans="2:14" ht="20.25" customHeight="1">
      <c r="B10" s="517" t="s">
        <v>423</v>
      </c>
      <c r="C10" s="556"/>
      <c r="D10" s="547"/>
      <c r="E10" s="547"/>
      <c r="F10" s="547"/>
      <c r="G10" s="547"/>
      <c r="H10" s="547"/>
      <c r="I10" s="547"/>
      <c r="J10" s="547"/>
      <c r="K10" s="556">
        <f>SUM(C10:J10)</f>
        <v>0</v>
      </c>
      <c r="L10" s="549"/>
      <c r="N10" s="225"/>
    </row>
    <row r="11" spans="2:12" s="226" customFormat="1" ht="23.25" customHeight="1">
      <c r="B11" s="517" t="s">
        <v>145</v>
      </c>
      <c r="C11" s="557">
        <f>SUM(C7:C10)</f>
        <v>900137.4400000001</v>
      </c>
      <c r="D11" s="557">
        <f aca="true" t="shared" si="0" ref="D11:K11">SUM(D7:D10)</f>
        <v>48894.3</v>
      </c>
      <c r="E11" s="557">
        <f t="shared" si="0"/>
        <v>0</v>
      </c>
      <c r="F11" s="557">
        <f t="shared" si="0"/>
        <v>0</v>
      </c>
      <c r="G11" s="557">
        <f t="shared" si="0"/>
        <v>-100412.8</v>
      </c>
      <c r="H11" s="557">
        <f t="shared" si="0"/>
        <v>0</v>
      </c>
      <c r="I11" s="557">
        <f t="shared" si="0"/>
        <v>0</v>
      </c>
      <c r="J11" s="557">
        <f t="shared" si="0"/>
        <v>0</v>
      </c>
      <c r="K11" s="557">
        <f t="shared" si="0"/>
        <v>848618.9400000001</v>
      </c>
      <c r="L11" s="550"/>
    </row>
    <row r="12" spans="2:14" ht="20.25" customHeight="1">
      <c r="B12" s="517" t="s">
        <v>424</v>
      </c>
      <c r="C12" s="556">
        <f>ACTIVO!C30</f>
        <v>51162.83</v>
      </c>
      <c r="D12" s="547"/>
      <c r="E12" s="547"/>
      <c r="F12" s="547"/>
      <c r="G12" s="547"/>
      <c r="H12" s="547"/>
      <c r="I12" s="547"/>
      <c r="J12" s="547"/>
      <c r="K12" s="556">
        <f>SUM(C12:J12)</f>
        <v>51162.83</v>
      </c>
      <c r="L12" s="549"/>
      <c r="N12" s="225"/>
    </row>
    <row r="13" spans="2:12" ht="26.25" customHeight="1">
      <c r="B13" s="518"/>
      <c r="C13" s="551"/>
      <c r="D13" s="551"/>
      <c r="E13" s="551"/>
      <c r="F13" s="551"/>
      <c r="G13" s="551"/>
      <c r="H13" s="551"/>
      <c r="I13" s="551"/>
      <c r="J13" s="551"/>
      <c r="K13" s="552"/>
      <c r="L13" s="553"/>
    </row>
    <row r="14" spans="2:12" ht="19.5" customHeight="1">
      <c r="B14" s="1206" t="s">
        <v>504</v>
      </c>
      <c r="C14" s="1207" t="s">
        <v>508</v>
      </c>
      <c r="D14" s="515"/>
      <c r="E14" s="1207"/>
      <c r="F14" s="1207"/>
      <c r="G14" s="1207"/>
      <c r="H14" s="1207"/>
      <c r="I14" s="1207"/>
      <c r="J14" s="1207"/>
      <c r="K14" s="1207" t="s">
        <v>509</v>
      </c>
      <c r="L14" s="1208" t="s">
        <v>415</v>
      </c>
    </row>
    <row r="15" spans="2:12" ht="63.75">
      <c r="B15" s="1206"/>
      <c r="C15" s="1207"/>
      <c r="D15" s="515" t="s">
        <v>416</v>
      </c>
      <c r="E15" s="515" t="s">
        <v>617</v>
      </c>
      <c r="F15" s="515" t="s">
        <v>417</v>
      </c>
      <c r="G15" s="515" t="s">
        <v>685</v>
      </c>
      <c r="H15" s="515" t="s">
        <v>418</v>
      </c>
      <c r="I15" s="515" t="s">
        <v>419</v>
      </c>
      <c r="J15" s="515" t="s">
        <v>420</v>
      </c>
      <c r="K15" s="1207"/>
      <c r="L15" s="1208"/>
    </row>
    <row r="16" spans="2:12" ht="12.75"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5"/>
    </row>
    <row r="17" spans="2:12" ht="36.75" customHeight="1">
      <c r="B17" s="516" t="s">
        <v>421</v>
      </c>
      <c r="C17" s="556">
        <f>+K7</f>
        <v>38898.59999999999</v>
      </c>
      <c r="D17" s="703"/>
      <c r="E17" s="703"/>
      <c r="F17" s="703"/>
      <c r="G17" s="703">
        <v>-23203.63</v>
      </c>
      <c r="H17" s="703"/>
      <c r="I17" s="703"/>
      <c r="J17" s="703"/>
      <c r="K17" s="972">
        <f>SUM(C17:J17)</f>
        <v>15694.96999999999</v>
      </c>
      <c r="L17" s="548"/>
    </row>
    <row r="18" spans="2:12" ht="39" customHeight="1">
      <c r="B18" s="516" t="s">
        <v>55</v>
      </c>
      <c r="C18" s="556">
        <f>+K8</f>
        <v>809720.3400000001</v>
      </c>
      <c r="D18" s="703"/>
      <c r="E18" s="703"/>
      <c r="F18" s="703"/>
      <c r="G18" s="703">
        <v>-54536.14</v>
      </c>
      <c r="H18" s="703"/>
      <c r="I18" s="703"/>
      <c r="J18" s="703"/>
      <c r="K18" s="972">
        <f>SUM(C18:J18)</f>
        <v>755184.2000000001</v>
      </c>
      <c r="L18" s="548"/>
    </row>
    <row r="19" spans="2:12" ht="38.25">
      <c r="B19" s="517" t="s">
        <v>422</v>
      </c>
      <c r="C19" s="556">
        <v>0</v>
      </c>
      <c r="D19" s="703"/>
      <c r="E19" s="703"/>
      <c r="F19" s="703"/>
      <c r="G19" s="703"/>
      <c r="H19" s="703"/>
      <c r="I19" s="703"/>
      <c r="J19" s="703"/>
      <c r="K19" s="556">
        <f>SUM(C19:J19)</f>
        <v>0</v>
      </c>
      <c r="L19" s="549"/>
    </row>
    <row r="20" spans="2:12" ht="21.75" customHeight="1">
      <c r="B20" s="517" t="s">
        <v>423</v>
      </c>
      <c r="C20" s="556">
        <v>0</v>
      </c>
      <c r="D20" s="703"/>
      <c r="E20" s="703"/>
      <c r="F20" s="703"/>
      <c r="G20" s="703"/>
      <c r="H20" s="703"/>
      <c r="I20" s="703"/>
      <c r="J20" s="703"/>
      <c r="K20" s="556">
        <f>SUM(C20:J20)</f>
        <v>0</v>
      </c>
      <c r="L20" s="549"/>
    </row>
    <row r="21" spans="2:12" s="226" customFormat="1" ht="22.5" customHeight="1">
      <c r="B21" s="517" t="s">
        <v>145</v>
      </c>
      <c r="C21" s="557">
        <f aca="true" t="shared" si="1" ref="C21:I21">SUM(C17:C20)</f>
        <v>848618.9400000001</v>
      </c>
      <c r="D21" s="577">
        <f t="shared" si="1"/>
        <v>0</v>
      </c>
      <c r="E21" s="577">
        <f t="shared" si="1"/>
        <v>0</v>
      </c>
      <c r="F21" s="577">
        <f t="shared" si="1"/>
        <v>0</v>
      </c>
      <c r="G21" s="577">
        <f t="shared" si="1"/>
        <v>-77739.77</v>
      </c>
      <c r="H21" s="577">
        <f t="shared" si="1"/>
        <v>0</v>
      </c>
      <c r="I21" s="577">
        <f t="shared" si="1"/>
        <v>0</v>
      </c>
      <c r="J21" s="577">
        <f>SUM(J17:J20)</f>
        <v>0</v>
      </c>
      <c r="K21" s="577">
        <f>SUM(K17:K20)</f>
        <v>770879.17</v>
      </c>
      <c r="L21" s="554"/>
    </row>
    <row r="22" spans="2:14" ht="20.25" customHeight="1" thickBot="1">
      <c r="B22" s="519" t="s">
        <v>424</v>
      </c>
      <c r="C22" s="556">
        <f>ACTIVO!D30</f>
        <v>56669.03</v>
      </c>
      <c r="D22" s="704"/>
      <c r="E22" s="704"/>
      <c r="F22" s="704"/>
      <c r="G22" s="704"/>
      <c r="H22" s="704"/>
      <c r="I22" s="704"/>
      <c r="J22" s="704"/>
      <c r="K22" s="558">
        <f>SUM(C22:J22)</f>
        <v>56669.03</v>
      </c>
      <c r="L22" s="555"/>
      <c r="N22" s="225"/>
    </row>
    <row r="24" spans="2:12" ht="12.75">
      <c r="B24" s="222" t="s">
        <v>425</v>
      </c>
      <c r="C24" s="227"/>
      <c r="L24" s="228"/>
    </row>
    <row r="25" spans="2:12" ht="12.75">
      <c r="B25" s="1200" t="s">
        <v>426</v>
      </c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</row>
    <row r="26" spans="2:12" ht="12.75">
      <c r="B26" s="1200" t="s">
        <v>427</v>
      </c>
      <c r="C26" s="1200"/>
      <c r="D26" s="1200"/>
      <c r="E26" s="1200"/>
      <c r="F26" s="1200"/>
      <c r="G26" s="1200"/>
      <c r="H26" s="1200"/>
      <c r="I26" s="1200"/>
      <c r="J26" s="1200"/>
      <c r="K26" s="1200"/>
      <c r="L26" s="1200"/>
    </row>
    <row r="27" spans="2:12" ht="12.75">
      <c r="B27" s="1200" t="s">
        <v>432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</row>
    <row r="28" spans="2:12" ht="12.75">
      <c r="B28" s="1200" t="s">
        <v>433</v>
      </c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</row>
    <row r="29" spans="2:12" ht="12.75">
      <c r="B29" s="1200" t="s">
        <v>449</v>
      </c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</row>
    <row r="30" spans="2:12" ht="12.75">
      <c r="B30" s="1200" t="s">
        <v>450</v>
      </c>
      <c r="C30" s="1200"/>
      <c r="D30" s="1200"/>
      <c r="E30" s="1200"/>
      <c r="F30" s="1200"/>
      <c r="G30" s="1200"/>
      <c r="H30" s="1200"/>
      <c r="I30" s="1200"/>
      <c r="J30" s="1200"/>
      <c r="K30" s="1200"/>
      <c r="L30" s="1200"/>
    </row>
    <row r="31" spans="2:12" ht="12.75">
      <c r="B31" s="1200" t="s">
        <v>451</v>
      </c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</row>
    <row r="32" spans="2:12" ht="12.75">
      <c r="B32" s="1200" t="s">
        <v>579</v>
      </c>
      <c r="C32" s="1200"/>
      <c r="D32" s="1200"/>
      <c r="E32" s="1200"/>
      <c r="F32" s="1200"/>
      <c r="G32" s="1200"/>
      <c r="H32" s="1200"/>
      <c r="I32" s="1200"/>
      <c r="J32" s="1200"/>
      <c r="K32" s="1200"/>
      <c r="L32" s="1200"/>
    </row>
    <row r="33" spans="2:12" ht="12.75">
      <c r="B33" s="1200" t="s">
        <v>580</v>
      </c>
      <c r="C33" s="1200"/>
      <c r="D33" s="1200"/>
      <c r="E33" s="1200"/>
      <c r="F33" s="1200"/>
      <c r="G33" s="1200"/>
      <c r="H33" s="1200"/>
      <c r="I33" s="1200"/>
      <c r="J33" s="1200"/>
      <c r="K33" s="1200"/>
      <c r="L33" s="1200"/>
    </row>
    <row r="34" spans="2:12" ht="12.75">
      <c r="B34" s="1200" t="s">
        <v>582</v>
      </c>
      <c r="C34" s="1200"/>
      <c r="D34" s="1200"/>
      <c r="E34" s="1200"/>
      <c r="F34" s="1200"/>
      <c r="G34" s="1200"/>
      <c r="H34" s="1200"/>
      <c r="I34" s="1200"/>
      <c r="J34" s="1200"/>
      <c r="K34" s="1200"/>
      <c r="L34" s="1200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rintOptions horizontalCentered="1" verticalCentered="1"/>
  <pageMargins left="0.5905511811023623" right="0.5511811023622047" top="0.65" bottom="0.984251968503937" header="0" footer="0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5"/>
  <sheetViews>
    <sheetView zoomScale="75" zoomScaleNormal="75" zoomScalePageLayoutView="0" workbookViewId="0" topLeftCell="A2">
      <selection activeCell="N8" sqref="N8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spans="5:10" ht="20.25" customHeight="1" hidden="1" thickBot="1">
      <c r="E1" s="1007">
        <f>+E14+E21</f>
        <v>114225.06</v>
      </c>
      <c r="J1" s="1007">
        <f>+J14+J21</f>
        <v>114225.06</v>
      </c>
    </row>
    <row r="2" spans="2:13" s="223" customFormat="1" ht="42" customHeight="1" thickBot="1">
      <c r="B2" s="1246" t="s">
        <v>214</v>
      </c>
      <c r="C2" s="1247"/>
      <c r="D2" s="1247"/>
      <c r="E2" s="1247"/>
      <c r="F2" s="1247"/>
      <c r="G2" s="1247"/>
      <c r="H2" s="1247"/>
      <c r="I2" s="1247"/>
      <c r="J2" s="1247"/>
      <c r="K2" s="1248"/>
      <c r="L2" s="1254">
        <f>CPYG!E2</f>
        <v>2017</v>
      </c>
      <c r="M2" s="1255"/>
    </row>
    <row r="3" spans="2:13" ht="35.25" customHeight="1" thickBot="1">
      <c r="B3" s="1249" t="str">
        <f>CPYG!B3</f>
        <v>ENTIDAD: SPET</v>
      </c>
      <c r="C3" s="1250"/>
      <c r="D3" s="1250"/>
      <c r="E3" s="1250"/>
      <c r="F3" s="1250"/>
      <c r="G3" s="1250"/>
      <c r="H3" s="1250"/>
      <c r="I3" s="1250"/>
      <c r="J3" s="1250"/>
      <c r="K3" s="1251"/>
      <c r="L3" s="1252" t="s">
        <v>202</v>
      </c>
      <c r="M3" s="1253"/>
    </row>
    <row r="4" spans="2:13" ht="18" customHeight="1">
      <c r="B4" s="1256" t="s">
        <v>448</v>
      </c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8"/>
    </row>
    <row r="5" spans="2:13" s="230" customFormat="1" ht="22.5" customHeight="1">
      <c r="B5" s="1222" t="s">
        <v>207</v>
      </c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4"/>
    </row>
    <row r="6" spans="2:13" ht="25.5" customHeight="1">
      <c r="B6" s="1227" t="s">
        <v>510</v>
      </c>
      <c r="C6" s="1228"/>
      <c r="D6" s="1231" t="s">
        <v>618</v>
      </c>
      <c r="E6" s="1231" t="s">
        <v>511</v>
      </c>
      <c r="F6" s="1231" t="s">
        <v>619</v>
      </c>
      <c r="G6" s="1231"/>
      <c r="H6" s="1231" t="s">
        <v>620</v>
      </c>
      <c r="I6" s="1231"/>
      <c r="J6" s="1226" t="s">
        <v>512</v>
      </c>
      <c r="K6" s="1226" t="s">
        <v>513</v>
      </c>
      <c r="L6" s="1226" t="s">
        <v>514</v>
      </c>
      <c r="M6" s="1225" t="s">
        <v>621</v>
      </c>
    </row>
    <row r="7" spans="2:13" ht="54" customHeight="1" thickBot="1">
      <c r="B7" s="1229"/>
      <c r="C7" s="1230"/>
      <c r="D7" s="1231"/>
      <c r="E7" s="1231"/>
      <c r="F7" s="229" t="s">
        <v>515</v>
      </c>
      <c r="G7" s="229" t="s">
        <v>623</v>
      </c>
      <c r="H7" s="229" t="s">
        <v>624</v>
      </c>
      <c r="I7" s="229" t="s">
        <v>625</v>
      </c>
      <c r="J7" s="1226"/>
      <c r="K7" s="1226"/>
      <c r="L7" s="1226"/>
      <c r="M7" s="1225"/>
    </row>
    <row r="8" spans="2:13" ht="21" customHeight="1" thickBot="1">
      <c r="B8" s="1243" t="s">
        <v>583</v>
      </c>
      <c r="C8" s="1244"/>
      <c r="D8" s="1244"/>
      <c r="E8" s="1244"/>
      <c r="F8" s="1244"/>
      <c r="G8" s="1244"/>
      <c r="H8" s="1244"/>
      <c r="I8" s="1244"/>
      <c r="J8" s="1244"/>
      <c r="K8" s="1244"/>
      <c r="L8" s="1244"/>
      <c r="M8" s="1245"/>
    </row>
    <row r="9" spans="2:13" ht="19.5" customHeight="1" thickBot="1">
      <c r="B9" s="1241" t="s">
        <v>912</v>
      </c>
      <c r="C9" s="1242"/>
      <c r="D9" s="528">
        <v>2500002</v>
      </c>
      <c r="E9" s="529">
        <v>110000</v>
      </c>
      <c r="F9" s="530"/>
      <c r="G9" s="530"/>
      <c r="H9" s="530"/>
      <c r="I9" s="531"/>
      <c r="J9" s="546">
        <f>SUM(E9:I9)</f>
        <v>110000</v>
      </c>
      <c r="K9" s="532">
        <v>0.41</v>
      </c>
      <c r="L9" s="533"/>
      <c r="M9" s="534"/>
    </row>
    <row r="10" spans="2:13" ht="19.5" customHeight="1" thickBot="1">
      <c r="B10" s="1241" t="s">
        <v>913</v>
      </c>
      <c r="C10" s="1242"/>
      <c r="D10" s="528">
        <v>2500001</v>
      </c>
      <c r="E10" s="529">
        <v>1500</v>
      </c>
      <c r="F10" s="530"/>
      <c r="G10" s="530"/>
      <c r="H10" s="530"/>
      <c r="I10" s="531"/>
      <c r="J10" s="546">
        <f>SUM(E10:I10)</f>
        <v>1500</v>
      </c>
      <c r="K10" s="532">
        <v>0.0498</v>
      </c>
      <c r="L10" s="533"/>
      <c r="M10" s="534"/>
    </row>
    <row r="11" spans="2:13" ht="19.5" customHeight="1" thickBot="1">
      <c r="B11" s="1232"/>
      <c r="C11" s="1233"/>
      <c r="D11" s="535"/>
      <c r="E11" s="530"/>
      <c r="F11" s="530"/>
      <c r="G11" s="530"/>
      <c r="H11" s="530"/>
      <c r="I11" s="530"/>
      <c r="J11" s="546">
        <f>SUM(E11:I11)</f>
        <v>0</v>
      </c>
      <c r="K11" s="533"/>
      <c r="L11" s="533"/>
      <c r="M11" s="534"/>
    </row>
    <row r="12" spans="2:13" ht="19.5" customHeight="1" thickBot="1">
      <c r="B12" s="1232"/>
      <c r="C12" s="1233"/>
      <c r="D12" s="535"/>
      <c r="E12" s="530"/>
      <c r="F12" s="530"/>
      <c r="G12" s="530"/>
      <c r="H12" s="530"/>
      <c r="I12" s="530"/>
      <c r="J12" s="546">
        <f>SUM(E12:I12)</f>
        <v>0</v>
      </c>
      <c r="K12" s="533"/>
      <c r="L12" s="533"/>
      <c r="M12" s="534"/>
    </row>
    <row r="13" spans="2:13" ht="19.5" customHeight="1" thickBot="1">
      <c r="B13" s="1232"/>
      <c r="C13" s="1233"/>
      <c r="D13" s="535"/>
      <c r="E13" s="530"/>
      <c r="F13" s="530"/>
      <c r="G13" s="530"/>
      <c r="H13" s="530"/>
      <c r="I13" s="530"/>
      <c r="J13" s="546">
        <f>SUM(E13:I13)</f>
        <v>0</v>
      </c>
      <c r="K13" s="533"/>
      <c r="L13" s="533"/>
      <c r="M13" s="534"/>
    </row>
    <row r="14" spans="2:13" s="132" customFormat="1" ht="19.5" customHeight="1" thickBot="1">
      <c r="B14" s="1220" t="s">
        <v>145</v>
      </c>
      <c r="C14" s="1221"/>
      <c r="D14" s="537"/>
      <c r="E14" s="571">
        <f>SUM(E9:E13)</f>
        <v>111500</v>
      </c>
      <c r="F14" s="571">
        <f>SUM(F9:F13)</f>
        <v>0</v>
      </c>
      <c r="G14" s="572"/>
      <c r="H14" s="571">
        <f>SUM(H9:H13)</f>
        <v>0</v>
      </c>
      <c r="I14" s="571">
        <f>SUM(I9:I13)</f>
        <v>0</v>
      </c>
      <c r="J14" s="571">
        <f>SUM(J9:J13)</f>
        <v>111500</v>
      </c>
      <c r="K14" s="538"/>
      <c r="L14" s="573">
        <f>SUM(L9:L13)</f>
        <v>0</v>
      </c>
      <c r="M14" s="539"/>
    </row>
    <row r="15" spans="2:13" ht="19.5" customHeight="1" thickBot="1">
      <c r="B15" s="1234" t="s">
        <v>584</v>
      </c>
      <c r="C15" s="1235"/>
      <c r="D15" s="1235"/>
      <c r="E15" s="1235"/>
      <c r="F15" s="1235"/>
      <c r="G15" s="1235"/>
      <c r="H15" s="1235"/>
      <c r="I15" s="1235"/>
      <c r="J15" s="1235"/>
      <c r="K15" s="1235"/>
      <c r="L15" s="1235"/>
      <c r="M15" s="1236"/>
    </row>
    <row r="16" spans="2:13" ht="19.5" customHeight="1" thickBot="1">
      <c r="B16" s="1218" t="s">
        <v>914</v>
      </c>
      <c r="C16" s="1219"/>
      <c r="D16" s="528">
        <v>2600001</v>
      </c>
      <c r="E16" s="530">
        <v>1782.06</v>
      </c>
      <c r="F16" s="530"/>
      <c r="G16" s="530"/>
      <c r="H16" s="530"/>
      <c r="I16" s="530"/>
      <c r="J16" s="546">
        <f>SUM(E16:I16)</f>
        <v>1782.06</v>
      </c>
      <c r="K16" s="536"/>
      <c r="L16" s="533"/>
      <c r="M16" s="534"/>
    </row>
    <row r="17" spans="2:13" ht="19.5" customHeight="1" thickBot="1">
      <c r="B17" s="1218" t="s">
        <v>915</v>
      </c>
      <c r="C17" s="1219"/>
      <c r="D17" s="528">
        <v>2600004</v>
      </c>
      <c r="E17" s="530">
        <v>300</v>
      </c>
      <c r="F17" s="530"/>
      <c r="G17" s="530"/>
      <c r="H17" s="530"/>
      <c r="I17" s="530"/>
      <c r="J17" s="546">
        <f>SUM(E17:I17)</f>
        <v>300</v>
      </c>
      <c r="K17" s="536"/>
      <c r="L17" s="533"/>
      <c r="M17" s="534"/>
    </row>
    <row r="18" spans="2:13" ht="19.5" customHeight="1" thickBot="1">
      <c r="B18" s="1218" t="s">
        <v>916</v>
      </c>
      <c r="C18" s="1219"/>
      <c r="D18" s="528">
        <v>2600005</v>
      </c>
      <c r="E18" s="530">
        <v>643</v>
      </c>
      <c r="F18" s="530"/>
      <c r="G18" s="530"/>
      <c r="H18" s="530"/>
      <c r="I18" s="530"/>
      <c r="J18" s="546">
        <f>SUM(E18:I18)</f>
        <v>643</v>
      </c>
      <c r="K18" s="536"/>
      <c r="L18" s="533"/>
      <c r="M18" s="534"/>
    </row>
    <row r="19" spans="2:13" ht="19.5" customHeight="1" thickBot="1">
      <c r="B19" s="1218"/>
      <c r="C19" s="1219"/>
      <c r="D19" s="535"/>
      <c r="E19" s="530"/>
      <c r="F19" s="530"/>
      <c r="G19" s="530"/>
      <c r="H19" s="530"/>
      <c r="I19" s="530"/>
      <c r="J19" s="546">
        <f>SUM(E19:I19)</f>
        <v>0</v>
      </c>
      <c r="K19" s="536"/>
      <c r="L19" s="533"/>
      <c r="M19" s="534"/>
    </row>
    <row r="20" spans="2:13" ht="19.5" customHeight="1" thickBot="1">
      <c r="B20" s="1232"/>
      <c r="C20" s="1233"/>
      <c r="D20" s="535"/>
      <c r="E20" s="530"/>
      <c r="F20" s="530"/>
      <c r="G20" s="530"/>
      <c r="H20" s="530"/>
      <c r="I20" s="530"/>
      <c r="J20" s="546">
        <f>SUM(E20:I20)</f>
        <v>0</v>
      </c>
      <c r="K20" s="536"/>
      <c r="L20" s="533"/>
      <c r="M20" s="534"/>
    </row>
    <row r="21" spans="2:13" s="132" customFormat="1" ht="19.5" customHeight="1" thickBot="1">
      <c r="B21" s="1220" t="s">
        <v>145</v>
      </c>
      <c r="C21" s="1221"/>
      <c r="D21" s="537"/>
      <c r="E21" s="571">
        <f>SUM(E16:E20)</f>
        <v>2725.06</v>
      </c>
      <c r="F21" s="571">
        <f>SUM(F16:F20)</f>
        <v>0</v>
      </c>
      <c r="G21" s="572"/>
      <c r="H21" s="571">
        <f>SUM(H16:H20)</f>
        <v>0</v>
      </c>
      <c r="I21" s="571">
        <f>SUM(I16:I20)</f>
        <v>0</v>
      </c>
      <c r="J21" s="571">
        <f>SUM(J16:J20)</f>
        <v>2725.06</v>
      </c>
      <c r="K21" s="538"/>
      <c r="L21" s="573">
        <f>SUM(L16:L20)</f>
        <v>0</v>
      </c>
      <c r="M21" s="539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222" t="s">
        <v>209</v>
      </c>
      <c r="C23" s="1223"/>
      <c r="D23" s="1223"/>
      <c r="E23" s="1223"/>
      <c r="F23" s="1223"/>
      <c r="G23" s="1223"/>
      <c r="H23" s="1223"/>
      <c r="I23" s="1223"/>
      <c r="J23" s="1223"/>
      <c r="K23" s="1223"/>
      <c r="L23" s="1223"/>
      <c r="M23" s="1224"/>
    </row>
    <row r="24" spans="2:13" s="230" customFormat="1" ht="22.5" customHeight="1">
      <c r="B24" s="1222" t="s">
        <v>795</v>
      </c>
      <c r="C24" s="1223"/>
      <c r="D24" s="1223"/>
      <c r="E24" s="1223"/>
      <c r="F24" s="1223"/>
      <c r="G24" s="1223"/>
      <c r="H24" s="1223"/>
      <c r="I24" s="1223"/>
      <c r="J24" s="1223"/>
      <c r="K24" s="1223"/>
      <c r="L24" s="1223"/>
      <c r="M24" s="1224"/>
    </row>
    <row r="25" spans="2:13" ht="25.5" customHeight="1">
      <c r="B25" s="1227" t="s">
        <v>510</v>
      </c>
      <c r="C25" s="1228"/>
      <c r="D25" s="1231" t="s">
        <v>618</v>
      </c>
      <c r="E25" s="1231" t="s">
        <v>511</v>
      </c>
      <c r="F25" s="1231" t="s">
        <v>619</v>
      </c>
      <c r="G25" s="1231"/>
      <c r="H25" s="1231" t="s">
        <v>620</v>
      </c>
      <c r="I25" s="1231"/>
      <c r="J25" s="1226" t="s">
        <v>512</v>
      </c>
      <c r="K25" s="1226" t="s">
        <v>516</v>
      </c>
      <c r="L25" s="1226" t="s">
        <v>514</v>
      </c>
      <c r="M25" s="1225" t="s">
        <v>212</v>
      </c>
    </row>
    <row r="26" spans="2:13" ht="54" customHeight="1" thickBot="1">
      <c r="B26" s="1229"/>
      <c r="C26" s="1230"/>
      <c r="D26" s="1231"/>
      <c r="E26" s="1231"/>
      <c r="F26" s="229" t="s">
        <v>622</v>
      </c>
      <c r="G26" s="229" t="s">
        <v>623</v>
      </c>
      <c r="H26" s="229" t="s">
        <v>624</v>
      </c>
      <c r="I26" s="229" t="s">
        <v>625</v>
      </c>
      <c r="J26" s="1226"/>
      <c r="K26" s="1226"/>
      <c r="L26" s="1226"/>
      <c r="M26" s="1225"/>
    </row>
    <row r="27" spans="2:13" ht="13.5" thickBot="1">
      <c r="B27" s="1243" t="s">
        <v>210</v>
      </c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5"/>
    </row>
    <row r="28" spans="2:13" s="134" customFormat="1" ht="19.5" customHeight="1" thickBot="1">
      <c r="B28" s="1241"/>
      <c r="C28" s="1242"/>
      <c r="D28" s="528"/>
      <c r="E28" s="529"/>
      <c r="F28" s="535"/>
      <c r="G28" s="535"/>
      <c r="H28" s="535"/>
      <c r="I28" s="531"/>
      <c r="J28" s="546">
        <f>SUM(E28:I28)</f>
        <v>0</v>
      </c>
      <c r="K28" s="532"/>
      <c r="L28" s="533"/>
      <c r="M28" s="534"/>
    </row>
    <row r="29" spans="2:13" s="134" customFormat="1" ht="19.5" customHeight="1" thickBot="1">
      <c r="B29" s="1241"/>
      <c r="C29" s="1242"/>
      <c r="D29" s="528"/>
      <c r="E29" s="529"/>
      <c r="F29" s="535"/>
      <c r="G29" s="535"/>
      <c r="H29" s="535"/>
      <c r="I29" s="531"/>
      <c r="J29" s="546">
        <f>SUM(E29:I29)</f>
        <v>0</v>
      </c>
      <c r="K29" s="532"/>
      <c r="L29" s="533"/>
      <c r="M29" s="534"/>
    </row>
    <row r="30" spans="2:13" s="134" customFormat="1" ht="19.5" customHeight="1" thickBot="1">
      <c r="B30" s="1241"/>
      <c r="C30" s="1242"/>
      <c r="D30" s="528"/>
      <c r="E30" s="529"/>
      <c r="F30" s="535"/>
      <c r="G30" s="535"/>
      <c r="H30" s="535"/>
      <c r="I30" s="531"/>
      <c r="J30" s="546">
        <f>SUM(E30:I30)</f>
        <v>0</v>
      </c>
      <c r="K30" s="532"/>
      <c r="L30" s="533"/>
      <c r="M30" s="534"/>
    </row>
    <row r="31" spans="2:13" s="134" customFormat="1" ht="19.5" customHeight="1" thickBot="1">
      <c r="B31" s="1218"/>
      <c r="C31" s="1219"/>
      <c r="D31" s="535"/>
      <c r="E31" s="531"/>
      <c r="F31" s="535"/>
      <c r="G31" s="535"/>
      <c r="H31" s="535"/>
      <c r="I31" s="535"/>
      <c r="J31" s="546">
        <f>SUM(E31:I31)</f>
        <v>0</v>
      </c>
      <c r="K31" s="536"/>
      <c r="L31" s="533"/>
      <c r="M31" s="534"/>
    </row>
    <row r="32" spans="2:13" s="134" customFormat="1" ht="19.5" customHeight="1" thickBot="1">
      <c r="B32" s="1232"/>
      <c r="C32" s="1233"/>
      <c r="D32" s="535"/>
      <c r="E32" s="531"/>
      <c r="F32" s="535"/>
      <c r="G32" s="535"/>
      <c r="H32" s="535"/>
      <c r="I32" s="535"/>
      <c r="J32" s="546">
        <f>SUM(E32:I32)</f>
        <v>0</v>
      </c>
      <c r="K32" s="533"/>
      <c r="L32" s="533"/>
      <c r="M32" s="534"/>
    </row>
    <row r="33" spans="2:13" s="132" customFormat="1" ht="19.5" customHeight="1" thickBot="1">
      <c r="B33" s="1220" t="s">
        <v>145</v>
      </c>
      <c r="C33" s="1221"/>
      <c r="D33" s="537"/>
      <c r="E33" s="571">
        <f>SUM(E28:E32)</f>
        <v>0</v>
      </c>
      <c r="F33" s="571">
        <f>SUM(F28:F32)</f>
        <v>0</v>
      </c>
      <c r="G33" s="572"/>
      <c r="H33" s="571">
        <f>SUM(H28:H32)</f>
        <v>0</v>
      </c>
      <c r="I33" s="571">
        <f>SUM(I28:I32)</f>
        <v>0</v>
      </c>
      <c r="J33" s="571">
        <f>SUM(J28:J32)</f>
        <v>0</v>
      </c>
      <c r="K33" s="538"/>
      <c r="L33" s="573">
        <f>SUM(L27:L32)</f>
        <v>0</v>
      </c>
      <c r="M33" s="539"/>
    </row>
    <row r="34" spans="2:13" s="134" customFormat="1" ht="19.5" customHeight="1" thickBot="1">
      <c r="B34" s="1234" t="s">
        <v>211</v>
      </c>
      <c r="C34" s="1235"/>
      <c r="D34" s="1235"/>
      <c r="E34" s="1235"/>
      <c r="F34" s="1235"/>
      <c r="G34" s="1235"/>
      <c r="H34" s="1235"/>
      <c r="I34" s="1235"/>
      <c r="J34" s="1235"/>
      <c r="K34" s="1235"/>
      <c r="L34" s="1235"/>
      <c r="M34" s="1236"/>
    </row>
    <row r="35" spans="2:13" s="134" customFormat="1" ht="19.5" customHeight="1" thickBot="1">
      <c r="B35" s="1218"/>
      <c r="C35" s="1219"/>
      <c r="D35" s="535"/>
      <c r="E35" s="530"/>
      <c r="F35" s="535"/>
      <c r="G35" s="535"/>
      <c r="H35" s="531"/>
      <c r="I35" s="535"/>
      <c r="J35" s="546">
        <f>SUM(E35:I35)</f>
        <v>0</v>
      </c>
      <c r="K35" s="533"/>
      <c r="L35" s="533"/>
      <c r="M35" s="534"/>
    </row>
    <row r="36" spans="2:13" s="134" customFormat="1" ht="19.5" customHeight="1" thickBot="1">
      <c r="B36" s="1218"/>
      <c r="C36" s="1219"/>
      <c r="D36" s="535"/>
      <c r="E36" s="530"/>
      <c r="F36" s="531"/>
      <c r="G36" s="535"/>
      <c r="H36" s="531"/>
      <c r="I36" s="535"/>
      <c r="J36" s="546">
        <f>SUM(E36:I36)</f>
        <v>0</v>
      </c>
      <c r="K36" s="533"/>
      <c r="L36" s="533"/>
      <c r="M36" s="534"/>
    </row>
    <row r="37" spans="2:13" s="134" customFormat="1" ht="19.5" customHeight="1" thickBot="1">
      <c r="B37" s="1218"/>
      <c r="C37" s="1219"/>
      <c r="D37" s="535"/>
      <c r="E37" s="530"/>
      <c r="F37" s="535"/>
      <c r="G37" s="535"/>
      <c r="H37" s="535"/>
      <c r="I37" s="535"/>
      <c r="J37" s="546">
        <f>SUM(E37:I37)</f>
        <v>0</v>
      </c>
      <c r="K37" s="533"/>
      <c r="L37" s="533"/>
      <c r="M37" s="534"/>
    </row>
    <row r="38" spans="2:13" s="134" customFormat="1" ht="19.5" customHeight="1" thickBot="1">
      <c r="B38" s="1218"/>
      <c r="C38" s="1219"/>
      <c r="D38" s="535"/>
      <c r="E38" s="530"/>
      <c r="F38" s="535"/>
      <c r="G38" s="535"/>
      <c r="H38" s="535"/>
      <c r="I38" s="535"/>
      <c r="J38" s="546">
        <f>SUM(E38:I38)</f>
        <v>0</v>
      </c>
      <c r="K38" s="533"/>
      <c r="L38" s="533"/>
      <c r="M38" s="534"/>
    </row>
    <row r="39" spans="2:13" s="134" customFormat="1" ht="19.5" customHeight="1" thickBot="1">
      <c r="B39" s="1232"/>
      <c r="C39" s="1233"/>
      <c r="D39" s="535"/>
      <c r="E39" s="530"/>
      <c r="F39" s="540"/>
      <c r="G39" s="540"/>
      <c r="H39" s="540"/>
      <c r="I39" s="540"/>
      <c r="J39" s="546">
        <f>SUM(E39:I39)</f>
        <v>0</v>
      </c>
      <c r="K39" s="541"/>
      <c r="L39" s="541"/>
      <c r="M39" s="542"/>
    </row>
    <row r="40" spans="2:13" s="132" customFormat="1" ht="19.5" customHeight="1" thickBot="1">
      <c r="B40" s="1238" t="s">
        <v>145</v>
      </c>
      <c r="C40" s="1239"/>
      <c r="D40" s="543"/>
      <c r="E40" s="574">
        <f>SUM(E35:E39)</f>
        <v>0</v>
      </c>
      <c r="F40" s="574">
        <f>SUM(F35:F39)</f>
        <v>0</v>
      </c>
      <c r="G40" s="575"/>
      <c r="H40" s="574">
        <f>SUM(H35:H39)</f>
        <v>0</v>
      </c>
      <c r="I40" s="574">
        <f>SUM(I35:I39)</f>
        <v>0</v>
      </c>
      <c r="J40" s="574">
        <f>SUM(J35:J39)</f>
        <v>0</v>
      </c>
      <c r="K40" s="544"/>
      <c r="L40" s="576">
        <f>SUM(L35:L39)</f>
        <v>0</v>
      </c>
      <c r="M40" s="545"/>
    </row>
    <row r="43" spans="2:13" ht="12.75">
      <c r="B43" s="1240" t="s">
        <v>425</v>
      </c>
      <c r="C43" s="1240"/>
      <c r="D43" s="1240"/>
      <c r="E43" s="1240"/>
      <c r="F43" s="1240"/>
      <c r="G43" s="1240"/>
      <c r="H43" s="1240"/>
      <c r="I43" s="1240"/>
      <c r="J43" s="1240"/>
      <c r="K43" s="1240"/>
      <c r="L43" s="1240"/>
      <c r="M43" s="1240"/>
    </row>
    <row r="44" spans="2:13" ht="12.75">
      <c r="B44" s="1237" t="s">
        <v>585</v>
      </c>
      <c r="C44" s="1237"/>
      <c r="D44" s="1237"/>
      <c r="E44" s="1237"/>
      <c r="F44" s="1237"/>
      <c r="G44" s="1237"/>
      <c r="H44" s="1237"/>
      <c r="I44" s="1237"/>
      <c r="J44" s="1237"/>
      <c r="K44" s="1237"/>
      <c r="L44" s="1237"/>
      <c r="M44" s="1237"/>
    </row>
    <row r="45" spans="2:13" ht="12.75">
      <c r="B45" s="1237" t="s">
        <v>208</v>
      </c>
      <c r="C45" s="1237"/>
      <c r="D45" s="1237"/>
      <c r="E45" s="1237"/>
      <c r="F45" s="1237"/>
      <c r="G45" s="1237"/>
      <c r="H45" s="1237"/>
      <c r="I45" s="1237"/>
      <c r="J45" s="1237"/>
      <c r="K45" s="1237"/>
      <c r="L45" s="1237"/>
      <c r="M45" s="1237"/>
    </row>
    <row r="46" spans="2:13" ht="12.75">
      <c r="B46" s="1237" t="s">
        <v>586</v>
      </c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</row>
    <row r="47" spans="2:13" ht="12.75">
      <c r="B47" s="1237" t="s">
        <v>587</v>
      </c>
      <c r="C47" s="1237"/>
      <c r="D47" s="1237"/>
      <c r="E47" s="1237"/>
      <c r="F47" s="1237"/>
      <c r="G47" s="1237"/>
      <c r="H47" s="1237"/>
      <c r="I47" s="1237"/>
      <c r="J47" s="1237"/>
      <c r="K47" s="1237"/>
      <c r="L47" s="1237"/>
      <c r="M47" s="1237"/>
    </row>
    <row r="48" spans="2:13" ht="12.75">
      <c r="B48" s="1237" t="s">
        <v>588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</row>
    <row r="49" spans="2:13" ht="12.75">
      <c r="B49" s="1237" t="s">
        <v>390</v>
      </c>
      <c r="C49" s="1237"/>
      <c r="D49" s="1237"/>
      <c r="E49" s="1237"/>
      <c r="F49" s="1237"/>
      <c r="G49" s="1237"/>
      <c r="H49" s="1237"/>
      <c r="I49" s="1237"/>
      <c r="J49" s="1237"/>
      <c r="K49" s="1237"/>
      <c r="L49" s="1237"/>
      <c r="M49" s="1237"/>
    </row>
    <row r="50" spans="2:13" ht="12.75">
      <c r="B50" s="1237" t="s">
        <v>391</v>
      </c>
      <c r="C50" s="1237"/>
      <c r="D50" s="1237"/>
      <c r="E50" s="1237"/>
      <c r="F50" s="1237"/>
      <c r="G50" s="1237"/>
      <c r="H50" s="1237"/>
      <c r="I50" s="1237"/>
      <c r="J50" s="1237"/>
      <c r="K50" s="1237"/>
      <c r="L50" s="1237"/>
      <c r="M50" s="1237"/>
    </row>
    <row r="51" spans="2:13" ht="12.75">
      <c r="B51" s="1237" t="s">
        <v>213</v>
      </c>
      <c r="C51" s="1237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</row>
    <row r="52" spans="2:13" ht="12.75">
      <c r="B52" s="1237" t="s">
        <v>392</v>
      </c>
      <c r="C52" s="1237"/>
      <c r="D52" s="1237"/>
      <c r="E52" s="1237"/>
      <c r="F52" s="1237"/>
      <c r="G52" s="1237"/>
      <c r="H52" s="1237"/>
      <c r="I52" s="1237"/>
      <c r="J52" s="1237"/>
      <c r="K52" s="1237"/>
      <c r="L52" s="1237"/>
      <c r="M52" s="1237"/>
    </row>
    <row r="53" spans="2:13" ht="12.75">
      <c r="B53" s="1237" t="s">
        <v>393</v>
      </c>
      <c r="C53" s="1237"/>
      <c r="D53" s="1237"/>
      <c r="E53" s="1237"/>
      <c r="F53" s="1237"/>
      <c r="G53" s="1237"/>
      <c r="H53" s="1237"/>
      <c r="I53" s="1237"/>
      <c r="J53" s="1237"/>
      <c r="K53" s="1237"/>
      <c r="L53" s="1237"/>
      <c r="M53" s="1237"/>
    </row>
    <row r="54" spans="4:8" ht="12.75" hidden="1">
      <c r="D54" s="133" t="s">
        <v>87</v>
      </c>
      <c r="E54" s="233">
        <f>+ACTIVO!C20</f>
        <v>3212225.26</v>
      </c>
      <c r="F54" s="233">
        <f>+ACTIVO!D20</f>
        <v>4225.0599999999995</v>
      </c>
      <c r="G54" s="233">
        <f>+ACTIVO!E20</f>
        <v>4225.0599999999995</v>
      </c>
      <c r="H54" s="233">
        <f>+ACTIVO!E20</f>
        <v>4225.0599999999995</v>
      </c>
    </row>
    <row r="55" spans="4:8" ht="12.75" hidden="1">
      <c r="D55" s="234" t="s">
        <v>88</v>
      </c>
      <c r="E55" s="235">
        <f>+E53-E54</f>
        <v>-3212225.26</v>
      </c>
      <c r="F55" s="235">
        <f>+F53-F54</f>
        <v>-4225.0599999999995</v>
      </c>
      <c r="G55" s="235">
        <f>+G53-G54</f>
        <v>-4225.0599999999995</v>
      </c>
      <c r="H55" s="235">
        <f>+H53-H54</f>
        <v>-4225.0599999999995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  <mergeCell ref="K6:K7"/>
    <mergeCell ref="B9:C9"/>
    <mergeCell ref="B15:M15"/>
    <mergeCell ref="B10:C10"/>
    <mergeCell ref="B6:C7"/>
    <mergeCell ref="B8:M8"/>
    <mergeCell ref="B14:C14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B48:M48"/>
    <mergeCell ref="B40:C40"/>
    <mergeCell ref="B39:C39"/>
    <mergeCell ref="B37:C37"/>
    <mergeCell ref="B43:M43"/>
    <mergeCell ref="B44:M44"/>
    <mergeCell ref="B45:M45"/>
    <mergeCell ref="B46:M46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984251968503937" bottom="0.984251968503937" header="0" footer="0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259" t="s">
        <v>131</v>
      </c>
      <c r="B1" s="1260"/>
      <c r="C1" s="1261"/>
      <c r="D1" s="16" t="e">
        <f>#REF!</f>
        <v>#REF!</v>
      </c>
    </row>
    <row r="2" spans="1:4" ht="25.5" customHeight="1">
      <c r="A2" s="1262" t="s">
        <v>686</v>
      </c>
      <c r="B2" s="1263"/>
      <c r="C2" s="1264"/>
      <c r="D2" s="13" t="s">
        <v>684</v>
      </c>
    </row>
    <row r="3" spans="1:4" ht="25.5" customHeight="1">
      <c r="A3" s="1265" t="s">
        <v>793</v>
      </c>
      <c r="B3" s="1266"/>
      <c r="C3" s="1266"/>
      <c r="D3" s="1267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178</v>
      </c>
      <c r="B5" s="21"/>
      <c r="C5" s="21"/>
      <c r="D5" s="22"/>
    </row>
    <row r="6" spans="1:4" s="3" customFormat="1" ht="19.5" customHeight="1">
      <c r="A6" s="5" t="s">
        <v>737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1967973.55</v>
      </c>
    </row>
    <row r="8" spans="1:4" s="3" customFormat="1" ht="19.5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738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739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740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741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743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744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745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398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746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747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748</v>
      </c>
      <c r="B22" s="25" t="str">
        <f>CPYG!B12</f>
        <v>4. APROVISIONAMIENTOS.</v>
      </c>
      <c r="C22" s="25" t="e">
        <f>CPYG!#REF!</f>
        <v>#REF!</v>
      </c>
      <c r="D22" s="26">
        <f>CPYG!C12</f>
        <v>-5506.2</v>
      </c>
    </row>
    <row r="23" spans="1:4" s="3" customFormat="1" ht="19.5" customHeight="1">
      <c r="A23" s="10" t="s">
        <v>749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-5506.2</v>
      </c>
    </row>
    <row r="24" spans="1:4" s="3" customFormat="1" ht="19.5" customHeight="1">
      <c r="A24" s="10" t="s">
        <v>750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751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752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753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9495355.2</v>
      </c>
    </row>
    <row r="28" spans="1:4" s="3" customFormat="1" ht="19.5" customHeight="1">
      <c r="A28" s="10" t="s">
        <v>755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0</v>
      </c>
    </row>
    <row r="29" spans="1:4" s="3" customFormat="1" ht="19.5" customHeight="1">
      <c r="A29" s="10" t="s">
        <v>756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9495355.2</v>
      </c>
    </row>
    <row r="30" spans="1:4" s="3" customFormat="1" ht="19.5" customHeight="1">
      <c r="A30" s="10" t="s">
        <v>399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400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757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758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9495355.2</v>
      </c>
    </row>
    <row r="34" spans="1:4" s="3" customFormat="1" ht="19.5" customHeight="1">
      <c r="A34" s="10" t="s">
        <v>759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760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761</v>
      </c>
      <c r="B36" s="25" t="str">
        <f>CPYG!B29</f>
        <v>6. GASTOS DE PERSONAL.</v>
      </c>
      <c r="C36" s="25" t="e">
        <f>CPYG!#REF!</f>
        <v>#REF!</v>
      </c>
      <c r="D36" s="26">
        <f>CPYG!C29</f>
        <v>-1977695.9000000001</v>
      </c>
      <c r="E36" s="40"/>
    </row>
    <row r="37" spans="1:4" s="3" customFormat="1" ht="19.5" customHeight="1">
      <c r="A37" s="10" t="s">
        <v>401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-1537057.37</v>
      </c>
    </row>
    <row r="38" spans="1:4" s="3" customFormat="1" ht="19.5" customHeight="1">
      <c r="A38" s="10" t="s">
        <v>402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403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-440638.53</v>
      </c>
    </row>
    <row r="40" spans="1:4" s="3" customFormat="1" ht="19.5" customHeight="1">
      <c r="A40" s="10" t="s">
        <v>404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405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0</v>
      </c>
    </row>
    <row r="42" spans="1:4" s="3" customFormat="1" ht="19.5" customHeight="1">
      <c r="A42" s="5" t="s">
        <v>762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406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-11270859.35</v>
      </c>
    </row>
    <row r="44" spans="1:4" s="3" customFormat="1" ht="19.5" customHeight="1">
      <c r="A44" s="10" t="s">
        <v>407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-10955158.66</v>
      </c>
    </row>
    <row r="45" spans="1:4" s="3" customFormat="1" ht="19.5" customHeight="1">
      <c r="A45" s="10" t="s">
        <v>763</v>
      </c>
      <c r="B45" s="25" t="str">
        <f>CPYG!B39</f>
        <v>      b) Tributos</v>
      </c>
      <c r="C45" s="25" t="e">
        <f>CPYG!#REF!</f>
        <v>#REF!</v>
      </c>
      <c r="D45" s="26">
        <f>CPYG!C39</f>
        <v>-8858.1</v>
      </c>
    </row>
    <row r="46" spans="1:4" s="3" customFormat="1" ht="19.5" customHeight="1">
      <c r="A46" s="10" t="s">
        <v>764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-306842.59</v>
      </c>
    </row>
    <row r="47" spans="1:4" s="3" customFormat="1" ht="19.5" customHeight="1">
      <c r="A47" s="10" t="s">
        <v>765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766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767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768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-107619.54</v>
      </c>
    </row>
    <row r="51" spans="1:4" s="3" customFormat="1" ht="19.5" customHeight="1">
      <c r="A51" s="5" t="s">
        <v>769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5824.53</v>
      </c>
    </row>
    <row r="52" spans="1:4" s="3" customFormat="1" ht="19.5" customHeight="1">
      <c r="A52" s="5" t="s">
        <v>770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408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687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688</v>
      </c>
      <c r="B56" s="23" t="str">
        <f>CPYG!B62</f>
        <v>13. OTROS RESULTADOS</v>
      </c>
      <c r="C56" s="23" t="e">
        <f>CPYG!#REF!</f>
        <v>#REF!</v>
      </c>
      <c r="D56" s="24">
        <f>CPYG!C62</f>
        <v>5078.1</v>
      </c>
    </row>
    <row r="57" spans="1:4" s="3" customFormat="1" ht="19.5" customHeight="1">
      <c r="A57" s="5" t="s">
        <v>771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-1887449.610000001</v>
      </c>
    </row>
    <row r="58" spans="1:4" s="3" customFormat="1" ht="19.5" customHeight="1">
      <c r="A58" s="10" t="s">
        <v>772</v>
      </c>
      <c r="B58" s="25" t="str">
        <f>CPYG!B66</f>
        <v>14. INGRESOS FINANCIEROS.</v>
      </c>
      <c r="C58" s="25" t="e">
        <f>CPYG!#REF!</f>
        <v>#REF!</v>
      </c>
      <c r="D58" s="26">
        <f>CPYG!C66</f>
        <v>844.74</v>
      </c>
    </row>
    <row r="59" spans="1:4" s="3" customFormat="1" ht="19.5" customHeight="1">
      <c r="A59" s="10" t="s">
        <v>773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774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409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775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844.74</v>
      </c>
    </row>
    <row r="63" spans="1:4" s="3" customFormat="1" ht="19.5" customHeight="1">
      <c r="A63" s="10" t="s">
        <v>776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777</v>
      </c>
      <c r="B64" s="23" t="str">
        <f>CPYG!B72</f>
        <v>          b.2) En terceros.</v>
      </c>
      <c r="C64" s="23" t="e">
        <f>CPYG!#REF!</f>
        <v>#REF!</v>
      </c>
      <c r="D64" s="24">
        <f>CPYG!C72</f>
        <v>844.74</v>
      </c>
    </row>
    <row r="65" spans="1:4" s="3" customFormat="1" ht="19.5" customHeight="1">
      <c r="A65" s="10" t="s">
        <v>778</v>
      </c>
      <c r="B65" s="25" t="str">
        <f>CPYG!B74</f>
        <v>15. GASTOS FINANCIEROS.</v>
      </c>
      <c r="C65" s="27" t="e">
        <f>CPYG!#REF!</f>
        <v>#REF!</v>
      </c>
      <c r="D65" s="26">
        <f>CPYG!C74</f>
        <v>-1014.69</v>
      </c>
    </row>
    <row r="66" spans="1:4" s="3" customFormat="1" ht="19.5" customHeight="1">
      <c r="A66" s="10" t="s">
        <v>410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411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-1014.69</v>
      </c>
    </row>
    <row r="68" spans="1:4" s="3" customFormat="1" ht="19.5" customHeight="1">
      <c r="A68" s="5" t="s">
        <v>779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780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412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781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689</v>
      </c>
      <c r="B72" s="23" t="str">
        <f>CPYG!B81</f>
        <v>17. DIFERENCIA DE CAMBIO.</v>
      </c>
      <c r="C72" s="23" t="e">
        <f>CPYG!#REF!</f>
        <v>#REF!</v>
      </c>
      <c r="D72" s="24">
        <f>CPYG!C81</f>
        <v>-10510.92</v>
      </c>
    </row>
    <row r="73" spans="1:4" s="3" customFormat="1" ht="20.25" customHeight="1">
      <c r="A73" s="10" t="s">
        <v>782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408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690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413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-10680.87</v>
      </c>
    </row>
    <row r="77" spans="1:4" s="3" customFormat="1" ht="19.5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-1898130.4800000011</v>
      </c>
    </row>
    <row r="78" spans="1:4" s="3" customFormat="1" ht="25.5" customHeight="1">
      <c r="A78" s="11" t="s">
        <v>691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414</v>
      </c>
      <c r="B79" s="23"/>
      <c r="C79" s="23"/>
      <c r="D79" s="24"/>
    </row>
    <row r="80" spans="1:4" s="3" customFormat="1" ht="19.5" customHeight="1">
      <c r="A80" s="5" t="s">
        <v>692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693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180</v>
      </c>
      <c r="B84" s="34"/>
      <c r="C84" s="34"/>
      <c r="D84" s="34"/>
    </row>
    <row r="85" spans="1:5" ht="19.5" customHeight="1">
      <c r="A85" s="7" t="s">
        <v>126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-1898130.4800000011</v>
      </c>
      <c r="C90" s="33">
        <f>PASIVO!D20</f>
        <v>-1903196.01</v>
      </c>
      <c r="D90" s="33">
        <f>PASIVO!E20</f>
        <v>-2056196.0099999977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2056196.0099999977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9"/>
  <sheetViews>
    <sheetView zoomScalePageLayoutView="0" workbookViewId="0" topLeftCell="A1">
      <selection activeCell="L29" sqref="L29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2" width="11.57421875" style="133" customWidth="1"/>
    <col min="13" max="13" width="0" style="133" hidden="1" customWidth="1"/>
    <col min="14" max="16384" width="11.57421875" style="133" customWidth="1"/>
  </cols>
  <sheetData>
    <row r="2" ht="13.5" thickBot="1"/>
    <row r="3" spans="2:12" ht="21.75" customHeight="1">
      <c r="B3" s="1059" t="s">
        <v>322</v>
      </c>
      <c r="C3" s="1060"/>
      <c r="D3" s="1060"/>
      <c r="E3" s="1060"/>
      <c r="F3" s="1060"/>
      <c r="G3" s="1060"/>
      <c r="H3" s="1060"/>
      <c r="I3" s="1060"/>
      <c r="J3" s="1060"/>
      <c r="K3" s="1187"/>
      <c r="L3" s="1281">
        <v>2017</v>
      </c>
    </row>
    <row r="4" spans="2:12" ht="19.5" customHeight="1" thickBot="1">
      <c r="B4" s="1064" t="s">
        <v>343</v>
      </c>
      <c r="C4" s="1065"/>
      <c r="D4" s="1065"/>
      <c r="E4" s="1065"/>
      <c r="F4" s="1065"/>
      <c r="G4" s="1065"/>
      <c r="H4" s="1065"/>
      <c r="I4" s="1065"/>
      <c r="J4" s="1065"/>
      <c r="K4" s="1286"/>
      <c r="L4" s="1282"/>
    </row>
    <row r="5" spans="2:12" ht="27.75" customHeight="1" thickBot="1">
      <c r="B5" s="1283" t="str">
        <f>CPYG!B3</f>
        <v>ENTIDAD: SPET</v>
      </c>
      <c r="C5" s="1284"/>
      <c r="D5" s="1284"/>
      <c r="E5" s="1284"/>
      <c r="F5" s="1284"/>
      <c r="G5" s="1284"/>
      <c r="H5" s="1284"/>
      <c r="I5" s="1285"/>
      <c r="J5" s="1289" t="s">
        <v>517</v>
      </c>
      <c r="K5" s="1289"/>
      <c r="L5" s="1290"/>
    </row>
    <row r="6" ht="13.5" thickBot="1"/>
    <row r="7" spans="2:12" ht="17.25" customHeight="1" thickBot="1">
      <c r="B7" s="1270" t="s">
        <v>518</v>
      </c>
      <c r="C7" s="1271"/>
      <c r="D7" s="1271"/>
      <c r="E7" s="1271"/>
      <c r="F7" s="1271"/>
      <c r="G7" s="1271"/>
      <c r="H7" s="1272"/>
      <c r="I7" s="1287" t="s">
        <v>519</v>
      </c>
      <c r="J7" s="1270" t="s">
        <v>520</v>
      </c>
      <c r="K7" s="1271"/>
      <c r="L7" s="1272"/>
    </row>
    <row r="8" spans="2:12" ht="30" customHeight="1" thickBot="1">
      <c r="B8" s="1273"/>
      <c r="C8" s="1274"/>
      <c r="D8" s="1274"/>
      <c r="E8" s="1274"/>
      <c r="F8" s="1274"/>
      <c r="G8" s="1274"/>
      <c r="H8" s="1275"/>
      <c r="I8" s="1288"/>
      <c r="J8" s="813">
        <v>42736</v>
      </c>
      <c r="K8" s="814">
        <v>42767</v>
      </c>
      <c r="L8" s="815">
        <v>42795</v>
      </c>
    </row>
    <row r="9" spans="2:13" ht="17.25" customHeight="1">
      <c r="B9" s="1276" t="s">
        <v>521</v>
      </c>
      <c r="C9" s="1277"/>
      <c r="D9" s="1277"/>
      <c r="E9" s="1277"/>
      <c r="F9" s="1277"/>
      <c r="G9" s="1277"/>
      <c r="H9" s="1278"/>
      <c r="I9" s="816">
        <v>23768.3</v>
      </c>
      <c r="J9" s="817">
        <v>1895.94</v>
      </c>
      <c r="K9" s="818">
        <v>1900.68</v>
      </c>
      <c r="L9" s="819">
        <v>1905.43</v>
      </c>
      <c r="M9" s="951"/>
    </row>
    <row r="10" spans="2:12" ht="6.75" customHeight="1">
      <c r="B10" s="733"/>
      <c r="C10" s="732"/>
      <c r="D10" s="732"/>
      <c r="E10" s="732"/>
      <c r="F10" s="732"/>
      <c r="G10" s="732"/>
      <c r="H10" s="232"/>
      <c r="I10" s="231"/>
      <c r="J10" s="231"/>
      <c r="K10" s="158"/>
      <c r="L10" s="232"/>
    </row>
    <row r="11" spans="2:12" ht="17.25" customHeight="1">
      <c r="B11" s="1276" t="s">
        <v>522</v>
      </c>
      <c r="C11" s="1277"/>
      <c r="D11" s="1277"/>
      <c r="E11" s="1277"/>
      <c r="F11" s="1277"/>
      <c r="G11" s="1277"/>
      <c r="H11" s="1278"/>
      <c r="I11" s="817"/>
      <c r="J11" s="817"/>
      <c r="K11" s="818"/>
      <c r="L11" s="819"/>
    </row>
    <row r="12" spans="2:12" ht="6.75" customHeight="1">
      <c r="B12" s="820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523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524</v>
      </c>
      <c r="D14" s="158"/>
      <c r="E14" s="158"/>
      <c r="F14" s="158"/>
      <c r="G14" s="158"/>
      <c r="H14" s="232"/>
      <c r="I14" s="932">
        <v>12153.89</v>
      </c>
      <c r="J14" s="932"/>
      <c r="K14" s="764"/>
      <c r="L14" s="652"/>
    </row>
    <row r="15" spans="2:13" ht="12.75">
      <c r="B15" s="231"/>
      <c r="C15" s="158" t="s">
        <v>525</v>
      </c>
      <c r="D15" s="158"/>
      <c r="E15" s="158"/>
      <c r="F15" s="158"/>
      <c r="G15" s="158"/>
      <c r="H15" s="232"/>
      <c r="I15" s="231"/>
      <c r="J15" s="231"/>
      <c r="K15" s="158"/>
      <c r="L15" s="232"/>
      <c r="M15" s="133">
        <f>SUM(I9:I14)</f>
        <v>35922.19</v>
      </c>
    </row>
    <row r="16" spans="2:12" ht="12.75">
      <c r="B16" s="231"/>
      <c r="C16" s="158" t="s">
        <v>531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337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820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276" t="s">
        <v>526</v>
      </c>
      <c r="C19" s="1277"/>
      <c r="D19" s="1277"/>
      <c r="E19" s="1277"/>
      <c r="F19" s="1277"/>
      <c r="G19" s="1277"/>
      <c r="H19" s="1278"/>
      <c r="I19" s="817"/>
      <c r="J19" s="817"/>
      <c r="K19" s="818"/>
      <c r="L19" s="819"/>
    </row>
    <row r="20" spans="2:12" ht="6.75" customHeight="1">
      <c r="B20" s="820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279" t="s">
        <v>527</v>
      </c>
      <c r="D21" s="1279"/>
      <c r="E21" s="1279"/>
      <c r="F21" s="1279"/>
      <c r="G21" s="1279"/>
      <c r="H21" s="1280"/>
      <c r="I21" s="231"/>
      <c r="J21" s="231"/>
      <c r="K21" s="158"/>
      <c r="L21" s="232"/>
    </row>
    <row r="22" spans="2:12" ht="12.75">
      <c r="B22" s="231"/>
      <c r="C22" s="1279" t="s">
        <v>528</v>
      </c>
      <c r="D22" s="1279"/>
      <c r="E22" s="1279"/>
      <c r="F22" s="1279"/>
      <c r="G22" s="1279"/>
      <c r="H22" s="1280"/>
      <c r="I22" s="231"/>
      <c r="J22" s="231"/>
      <c r="K22" s="158"/>
      <c r="L22" s="232"/>
    </row>
    <row r="23" spans="2:12" ht="6.75" customHeight="1">
      <c r="B23" s="820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276" t="s">
        <v>529</v>
      </c>
      <c r="C24" s="1277"/>
      <c r="D24" s="1277"/>
      <c r="E24" s="1277"/>
      <c r="F24" s="1277"/>
      <c r="G24" s="1277"/>
      <c r="H24" s="1278"/>
      <c r="I24" s="817"/>
      <c r="J24" s="817"/>
      <c r="K24" s="818"/>
      <c r="L24" s="819"/>
    </row>
    <row r="25" spans="2:12" ht="6.75" customHeight="1">
      <c r="B25" s="820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279" t="s">
        <v>527</v>
      </c>
      <c r="D26" s="1279"/>
      <c r="E26" s="1279"/>
      <c r="F26" s="1279"/>
      <c r="G26" s="1279"/>
      <c r="H26" s="1280"/>
      <c r="I26" s="231"/>
      <c r="J26" s="231"/>
      <c r="K26" s="158"/>
      <c r="L26" s="232"/>
    </row>
    <row r="27" spans="2:12" ht="13.5" thickBot="1">
      <c r="B27" s="319"/>
      <c r="C27" s="1268" t="s">
        <v>528</v>
      </c>
      <c r="D27" s="1268"/>
      <c r="E27" s="1268"/>
      <c r="F27" s="1268"/>
      <c r="G27" s="1268"/>
      <c r="H27" s="1269"/>
      <c r="I27" s="319"/>
      <c r="J27" s="319"/>
      <c r="K27" s="316"/>
      <c r="L27" s="320"/>
    </row>
    <row r="29" ht="12.75">
      <c r="C29" s="670" t="s">
        <v>530</v>
      </c>
    </row>
  </sheetData>
  <sheetProtection/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1059" t="s">
        <v>322</v>
      </c>
      <c r="C2" s="1060"/>
      <c r="D2" s="1060"/>
      <c r="E2" s="1060"/>
      <c r="F2" s="1060"/>
      <c r="G2" s="1060"/>
      <c r="H2" s="1060"/>
      <c r="I2" s="1060"/>
      <c r="J2" s="1060"/>
      <c r="K2" s="1187"/>
      <c r="L2" s="1281">
        <v>2017</v>
      </c>
    </row>
    <row r="3" spans="2:12" ht="19.5" customHeight="1" thickBot="1">
      <c r="B3" s="1064" t="s">
        <v>343</v>
      </c>
      <c r="C3" s="1065"/>
      <c r="D3" s="1065"/>
      <c r="E3" s="1065"/>
      <c r="F3" s="1065"/>
      <c r="G3" s="1065"/>
      <c r="H3" s="1065"/>
      <c r="I3" s="1065"/>
      <c r="J3" s="1065"/>
      <c r="K3" s="1286"/>
      <c r="L3" s="1282"/>
    </row>
    <row r="4" spans="2:12" ht="56.25" customHeight="1" thickBot="1">
      <c r="B4" s="1283" t="str">
        <f>CPYG!B3</f>
        <v>ENTIDAD: SPET</v>
      </c>
      <c r="C4" s="1284"/>
      <c r="D4" s="1284"/>
      <c r="E4" s="1284"/>
      <c r="F4" s="1284"/>
      <c r="G4" s="1284"/>
      <c r="H4" s="1284"/>
      <c r="I4" s="1285"/>
      <c r="J4" s="1289" t="s">
        <v>534</v>
      </c>
      <c r="K4" s="1289"/>
      <c r="L4" s="1290"/>
    </row>
    <row r="5" spans="1:2" ht="18" customHeight="1" thickBot="1">
      <c r="A5" s="261"/>
      <c r="B5" s="261"/>
    </row>
    <row r="6" spans="1:12" ht="26.25" customHeight="1">
      <c r="A6" s="261"/>
      <c r="B6" s="1291" t="s">
        <v>518</v>
      </c>
      <c r="C6" s="1292" t="s">
        <v>535</v>
      </c>
      <c r="D6" s="1293"/>
      <c r="E6" s="1293"/>
      <c r="F6" s="1293"/>
      <c r="G6" s="1293"/>
      <c r="H6" s="1293"/>
      <c r="I6" s="1293"/>
      <c r="J6" s="1293"/>
      <c r="K6" s="1293"/>
      <c r="L6" s="1294"/>
    </row>
    <row r="7" spans="1:12" ht="27" customHeight="1" thickBot="1">
      <c r="A7" s="261"/>
      <c r="B7" s="1288"/>
      <c r="C7" s="721">
        <v>2017</v>
      </c>
      <c r="D7" s="721">
        <v>2018</v>
      </c>
      <c r="E7" s="721">
        <v>2019</v>
      </c>
      <c r="F7" s="721">
        <v>2020</v>
      </c>
      <c r="G7" s="721">
        <v>2021</v>
      </c>
      <c r="H7" s="721">
        <v>2022</v>
      </c>
      <c r="I7" s="721">
        <v>2023</v>
      </c>
      <c r="J7" s="721">
        <v>2024</v>
      </c>
      <c r="K7" s="721">
        <v>2025</v>
      </c>
      <c r="L7" s="821">
        <v>2026</v>
      </c>
    </row>
    <row r="8" spans="2:12" ht="21" customHeight="1">
      <c r="B8" s="206" t="s">
        <v>523</v>
      </c>
      <c r="C8" s="822"/>
      <c r="D8" s="822"/>
      <c r="E8" s="822"/>
      <c r="F8" s="822"/>
      <c r="G8" s="822"/>
      <c r="H8" s="822"/>
      <c r="I8" s="822"/>
      <c r="J8" s="822"/>
      <c r="K8" s="822"/>
      <c r="L8" s="823"/>
    </row>
    <row r="9" spans="2:12" ht="21" customHeight="1">
      <c r="B9" s="231" t="s">
        <v>532</v>
      </c>
      <c r="C9" s="824">
        <v>23066.7</v>
      </c>
      <c r="D9" s="824">
        <v>23768.3</v>
      </c>
      <c r="E9" s="824">
        <v>12153.89</v>
      </c>
      <c r="F9" s="824"/>
      <c r="G9" s="824"/>
      <c r="H9" s="824"/>
      <c r="I9" s="824"/>
      <c r="J9" s="824"/>
      <c r="K9" s="824"/>
      <c r="L9" s="825"/>
    </row>
    <row r="10" spans="2:12" ht="21" customHeight="1">
      <c r="B10" s="231" t="s">
        <v>336</v>
      </c>
      <c r="C10" s="824"/>
      <c r="D10" s="824"/>
      <c r="E10" s="824"/>
      <c r="F10" s="824"/>
      <c r="G10" s="824"/>
      <c r="H10" s="824"/>
      <c r="I10" s="824"/>
      <c r="J10" s="824"/>
      <c r="K10" s="824"/>
      <c r="L10" s="825"/>
    </row>
    <row r="11" spans="2:12" ht="21" customHeight="1">
      <c r="B11" s="231" t="s">
        <v>536</v>
      </c>
      <c r="C11" s="824"/>
      <c r="D11" s="824"/>
      <c r="E11" s="824"/>
      <c r="F11" s="824"/>
      <c r="G11" s="824"/>
      <c r="H11" s="824"/>
      <c r="I11" s="824"/>
      <c r="J11" s="824"/>
      <c r="K11" s="824"/>
      <c r="L11" s="825"/>
    </row>
    <row r="12" spans="2:12" ht="21" customHeight="1" thickBot="1">
      <c r="B12" s="319" t="s">
        <v>337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7"/>
    </row>
    <row r="13" spans="2:12" ht="27" customHeight="1" thickBot="1">
      <c r="B13" s="828" t="s">
        <v>533</v>
      </c>
      <c r="C13" s="829">
        <f aca="true" t="shared" si="0" ref="C13:L13">SUM(C8:C12)</f>
        <v>23066.7</v>
      </c>
      <c r="D13" s="829">
        <f t="shared" si="0"/>
        <v>23768.3</v>
      </c>
      <c r="E13" s="829">
        <f t="shared" si="0"/>
        <v>12153.89</v>
      </c>
      <c r="F13" s="829">
        <f t="shared" si="0"/>
        <v>0</v>
      </c>
      <c r="G13" s="829">
        <f t="shared" si="0"/>
        <v>0</v>
      </c>
      <c r="H13" s="829">
        <f t="shared" si="0"/>
        <v>0</v>
      </c>
      <c r="I13" s="829">
        <f t="shared" si="0"/>
        <v>0</v>
      </c>
      <c r="J13" s="829">
        <f t="shared" si="0"/>
        <v>0</v>
      </c>
      <c r="K13" s="829">
        <f t="shared" si="0"/>
        <v>0</v>
      </c>
      <c r="L13" s="830">
        <f t="shared" si="0"/>
        <v>0</v>
      </c>
    </row>
    <row r="16" ht="12.75" hidden="1">
      <c r="E16" s="133">
        <f>SUM(C9:E9)</f>
        <v>58988.89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2" right="0.3937007874015748" top="0.4724409448818898" bottom="0.35433070866141736" header="0" footer="0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43"/>
  <sheetViews>
    <sheetView zoomScale="75" zoomScaleNormal="75" zoomScalePageLayoutView="0" workbookViewId="0" topLeftCell="A4">
      <selection activeCell="E29" sqref="E29"/>
    </sheetView>
  </sheetViews>
  <sheetFormatPr defaultColWidth="11.57421875" defaultRowHeight="12.75"/>
  <cols>
    <col min="1" max="1" width="3.28125" style="262" customWidth="1"/>
    <col min="2" max="2" width="10.28125" style="262" customWidth="1"/>
    <col min="3" max="3" width="19.8515625" style="262" hidden="1" customWidth="1"/>
    <col min="4" max="4" width="12.140625" style="262" customWidth="1"/>
    <col min="5" max="5" width="16.421875" style="262" customWidth="1"/>
    <col min="6" max="6" width="10.57421875" style="262" customWidth="1"/>
    <col min="7" max="7" width="11.28125" style="262" customWidth="1"/>
    <col min="8" max="9" width="13.57421875" style="262" customWidth="1"/>
    <col min="10" max="10" width="16.57421875" style="262" customWidth="1"/>
    <col min="11" max="11" width="17.28125" style="262" customWidth="1"/>
    <col min="12" max="12" width="13.28125" style="262" customWidth="1"/>
    <col min="13" max="13" width="15.421875" style="262" customWidth="1"/>
    <col min="14" max="14" width="15.57421875" style="262" customWidth="1"/>
    <col min="15" max="15" width="16.7109375" style="262" customWidth="1"/>
    <col min="16" max="16" width="12.57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57421875" style="262" customWidth="1"/>
  </cols>
  <sheetData>
    <row r="1" spans="2:15" ht="24.75" customHeight="1" thickBot="1">
      <c r="B1" s="301"/>
      <c r="O1" s="302"/>
    </row>
    <row r="2" spans="2:20" s="279" customFormat="1" ht="36" customHeight="1" thickBot="1">
      <c r="B2" s="1337" t="s">
        <v>600</v>
      </c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9"/>
      <c r="O2" s="1327">
        <f>CPYG!E2</f>
        <v>2017</v>
      </c>
      <c r="P2" s="1328"/>
      <c r="R2" s="281"/>
      <c r="S2" s="281"/>
      <c r="T2" s="281"/>
    </row>
    <row r="3" spans="2:16" ht="25.5" customHeight="1" thickBot="1">
      <c r="B3" s="1333" t="str">
        <f>CPYG!B3</f>
        <v>ENTIDAD: SPET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4"/>
      <c r="N3" s="1335"/>
      <c r="O3" s="1333" t="s">
        <v>200</v>
      </c>
      <c r="P3" s="1335"/>
    </row>
    <row r="4" spans="2:16" ht="24.75" customHeight="1">
      <c r="B4" s="1329" t="s">
        <v>144</v>
      </c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1"/>
    </row>
    <row r="5" spans="2:17" ht="48" customHeight="1">
      <c r="B5" s="1336" t="s">
        <v>397</v>
      </c>
      <c r="C5" s="1315"/>
      <c r="D5" s="1305"/>
      <c r="E5" s="1304" t="s">
        <v>808</v>
      </c>
      <c r="F5" s="1305"/>
      <c r="G5" s="265" t="s">
        <v>809</v>
      </c>
      <c r="H5" s="1311" t="s">
        <v>810</v>
      </c>
      <c r="I5" s="1311"/>
      <c r="J5" s="1311"/>
      <c r="K5" s="1304" t="s">
        <v>811</v>
      </c>
      <c r="L5" s="1305"/>
      <c r="M5" s="1304" t="s">
        <v>537</v>
      </c>
      <c r="N5" s="1305"/>
      <c r="O5" s="1304" t="s">
        <v>538</v>
      </c>
      <c r="P5" s="1332"/>
      <c r="Q5" s="266"/>
    </row>
    <row r="6" spans="2:16" ht="19.5" customHeight="1">
      <c r="B6" s="1324"/>
      <c r="C6" s="1325"/>
      <c r="D6" s="1326"/>
      <c r="E6" s="1301"/>
      <c r="F6" s="1302"/>
      <c r="G6" s="267"/>
      <c r="H6" s="1317"/>
      <c r="I6" s="1318"/>
      <c r="J6" s="1319"/>
      <c r="K6" s="1301"/>
      <c r="L6" s="1302"/>
      <c r="M6" s="1301"/>
      <c r="N6" s="1302"/>
      <c r="O6" s="1301"/>
      <c r="P6" s="1310"/>
    </row>
    <row r="7" spans="2:16" ht="19.5" customHeight="1">
      <c r="B7" s="1324"/>
      <c r="C7" s="1325"/>
      <c r="D7" s="1326"/>
      <c r="E7" s="1301"/>
      <c r="F7" s="1302"/>
      <c r="G7" s="267"/>
      <c r="H7" s="1303"/>
      <c r="I7" s="1303"/>
      <c r="J7" s="1303"/>
      <c r="K7" s="1301"/>
      <c r="L7" s="1302"/>
      <c r="M7" s="1301"/>
      <c r="N7" s="1316"/>
      <c r="O7" s="1301"/>
      <c r="P7" s="1310"/>
    </row>
    <row r="8" spans="2:16" ht="19.5" customHeight="1">
      <c r="B8" s="1324"/>
      <c r="C8" s="1325"/>
      <c r="D8" s="1326"/>
      <c r="E8" s="1301"/>
      <c r="F8" s="1302"/>
      <c r="G8" s="267"/>
      <c r="H8" s="1303"/>
      <c r="I8" s="1303"/>
      <c r="J8" s="1303"/>
      <c r="K8" s="1301"/>
      <c r="L8" s="1302"/>
      <c r="M8" s="1301"/>
      <c r="N8" s="1316"/>
      <c r="O8" s="1301"/>
      <c r="P8" s="1310"/>
    </row>
    <row r="9" spans="2:16" ht="19.5" customHeight="1">
      <c r="B9" s="1324"/>
      <c r="C9" s="1325"/>
      <c r="D9" s="1326"/>
      <c r="E9" s="1301"/>
      <c r="F9" s="1302"/>
      <c r="G9" s="267"/>
      <c r="H9" s="1303"/>
      <c r="I9" s="1303"/>
      <c r="J9" s="1303"/>
      <c r="K9" s="1301"/>
      <c r="L9" s="1302"/>
      <c r="M9" s="1301"/>
      <c r="N9" s="1316"/>
      <c r="O9" s="1301"/>
      <c r="P9" s="1310"/>
    </row>
    <row r="10" spans="2:16" ht="19.5" customHeight="1">
      <c r="B10" s="1324"/>
      <c r="C10" s="1325"/>
      <c r="D10" s="1326"/>
      <c r="E10" s="1301"/>
      <c r="F10" s="1302"/>
      <c r="G10" s="269"/>
      <c r="H10" s="1303"/>
      <c r="I10" s="1303"/>
      <c r="J10" s="1303"/>
      <c r="K10" s="1301"/>
      <c r="L10" s="1302"/>
      <c r="M10" s="1301"/>
      <c r="N10" s="1316"/>
      <c r="O10" s="1301"/>
      <c r="P10" s="1310"/>
    </row>
    <row r="11" spans="2:16" ht="24.75" customHeight="1">
      <c r="B11" s="1320" t="s">
        <v>193</v>
      </c>
      <c r="C11" s="1321"/>
      <c r="D11" s="1321"/>
      <c r="E11" s="1321"/>
      <c r="F11" s="1321"/>
      <c r="G11" s="1321"/>
      <c r="H11" s="1321"/>
      <c r="I11" s="1321"/>
      <c r="J11" s="1321"/>
      <c r="K11" s="1321"/>
      <c r="L11" s="1321"/>
      <c r="M11" s="1321"/>
      <c r="N11" s="1321"/>
      <c r="O11" s="1321"/>
      <c r="P11" s="1322"/>
    </row>
    <row r="12" spans="2:16" ht="40.5" customHeight="1">
      <c r="B12" s="1323" t="s">
        <v>812</v>
      </c>
      <c r="C12" s="265"/>
      <c r="D12" s="1311" t="s">
        <v>813</v>
      </c>
      <c r="E12" s="1306" t="s">
        <v>814</v>
      </c>
      <c r="F12" s="1307"/>
      <c r="G12" s="1311" t="s">
        <v>815</v>
      </c>
      <c r="H12" s="1313" t="s">
        <v>394</v>
      </c>
      <c r="I12" s="1313" t="s">
        <v>395</v>
      </c>
      <c r="J12" s="1304" t="s">
        <v>539</v>
      </c>
      <c r="K12" s="1305"/>
      <c r="L12" s="1304" t="s">
        <v>464</v>
      </c>
      <c r="M12" s="1315"/>
      <c r="N12" s="1305"/>
      <c r="O12" s="1311" t="s">
        <v>540</v>
      </c>
      <c r="P12" s="1312"/>
    </row>
    <row r="13" spans="2:20" ht="60" customHeight="1">
      <c r="B13" s="1323"/>
      <c r="C13" s="265"/>
      <c r="D13" s="1311"/>
      <c r="E13" s="1308"/>
      <c r="F13" s="1309"/>
      <c r="G13" s="1311"/>
      <c r="H13" s="1314"/>
      <c r="I13" s="1314"/>
      <c r="J13" s="270" t="s">
        <v>601</v>
      </c>
      <c r="K13" s="270" t="s">
        <v>541</v>
      </c>
      <c r="L13" s="265" t="s">
        <v>542</v>
      </c>
      <c r="M13" s="265" t="s">
        <v>543</v>
      </c>
      <c r="N13" s="264" t="s">
        <v>544</v>
      </c>
      <c r="O13" s="264" t="s">
        <v>545</v>
      </c>
      <c r="P13" s="271" t="s">
        <v>0</v>
      </c>
      <c r="R13" s="272" t="s">
        <v>139</v>
      </c>
      <c r="S13" s="263" t="s">
        <v>615</v>
      </c>
      <c r="T13" s="263" t="s">
        <v>616</v>
      </c>
    </row>
    <row r="14" spans="2:20" s="279" customFormat="1" ht="19.5" customHeight="1">
      <c r="B14" s="273">
        <v>2007</v>
      </c>
      <c r="C14" s="274"/>
      <c r="D14" s="274" t="s">
        <v>917</v>
      </c>
      <c r="E14" s="1295" t="s">
        <v>918</v>
      </c>
      <c r="F14" s="1296"/>
      <c r="G14" s="268"/>
      <c r="H14" s="275"/>
      <c r="I14" s="275"/>
      <c r="J14" s="276">
        <v>300000</v>
      </c>
      <c r="K14" s="276">
        <v>58988.89</v>
      </c>
      <c r="L14" s="725"/>
      <c r="M14" s="952">
        <v>23066.7</v>
      </c>
      <c r="N14" s="952">
        <v>1454.22</v>
      </c>
      <c r="O14" s="953">
        <v>35922.19</v>
      </c>
      <c r="P14" s="278">
        <v>2</v>
      </c>
      <c r="R14" s="280"/>
      <c r="S14" s="281"/>
      <c r="T14" s="281"/>
    </row>
    <row r="15" spans="2:20" s="279" customFormat="1" ht="19.5" customHeight="1">
      <c r="B15" s="282"/>
      <c r="C15" s="274"/>
      <c r="D15" s="274"/>
      <c r="E15" s="1295"/>
      <c r="F15" s="1296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aca="true" t="shared" si="0" ref="Q15:Q23">+Q14+1</f>
        <v>1</v>
      </c>
      <c r="R15" s="280">
        <f aca="true" t="shared" si="1" ref="R15:R23">+T15-S15</f>
        <v>-492841.42</v>
      </c>
      <c r="S15" s="281">
        <v>492841.42</v>
      </c>
      <c r="T15" s="281">
        <f aca="true" t="shared" si="2" ref="T15:T23">+S14</f>
        <v>0</v>
      </c>
    </row>
    <row r="16" spans="2:20" s="279" customFormat="1" ht="19.5" customHeight="1">
      <c r="B16" s="282"/>
      <c r="C16" s="274"/>
      <c r="D16" s="274"/>
      <c r="E16" s="1295"/>
      <c r="F16" s="1296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5" customHeight="1">
      <c r="B17" s="282"/>
      <c r="C17" s="274"/>
      <c r="D17" s="274"/>
      <c r="E17" s="1295"/>
      <c r="F17" s="1296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5" customHeight="1">
      <c r="B18" s="282"/>
      <c r="C18" s="274"/>
      <c r="D18" s="274"/>
      <c r="E18" s="1295"/>
      <c r="F18" s="1296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</v>
      </c>
      <c r="S18" s="281">
        <v>324162.58</v>
      </c>
      <c r="T18" s="281">
        <f t="shared" si="2"/>
        <v>383493.01</v>
      </c>
    </row>
    <row r="19" spans="2:20" s="279" customFormat="1" ht="19.5" customHeight="1">
      <c r="B19" s="282"/>
      <c r="C19" s="274"/>
      <c r="D19" s="274"/>
      <c r="E19" s="1295"/>
      <c r="F19" s="1296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5" customHeight="1">
      <c r="B20" s="282"/>
      <c r="C20" s="274"/>
      <c r="D20" s="274"/>
      <c r="E20" s="1295"/>
      <c r="F20" s="1296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5" customHeight="1">
      <c r="B21" s="282"/>
      <c r="C21" s="274"/>
      <c r="D21" s="274"/>
      <c r="E21" s="1295"/>
      <c r="F21" s="1296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5" customHeight="1">
      <c r="B22" s="282"/>
      <c r="C22" s="274"/>
      <c r="D22" s="274"/>
      <c r="E22" s="1295"/>
      <c r="F22" s="1296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5" customHeight="1" thickBot="1">
      <c r="B23" s="285"/>
      <c r="C23" s="274"/>
      <c r="D23" s="286"/>
      <c r="E23" s="1299"/>
      <c r="F23" s="1300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5" customHeight="1" thickBot="1">
      <c r="B24" s="291" t="s">
        <v>145</v>
      </c>
      <c r="C24" s="292"/>
      <c r="D24" s="293"/>
      <c r="E24" s="1297"/>
      <c r="F24" s="1298"/>
      <c r="G24" s="294"/>
      <c r="H24" s="294"/>
      <c r="I24" s="294"/>
      <c r="J24" s="751">
        <f aca="true" t="shared" si="3" ref="J24:O24">SUM(J14:J23)</f>
        <v>300000</v>
      </c>
      <c r="K24" s="751">
        <f t="shared" si="3"/>
        <v>58988.89</v>
      </c>
      <c r="L24" s="751">
        <f>SUM(L15:L23)</f>
        <v>0</v>
      </c>
      <c r="M24" s="751">
        <f t="shared" si="3"/>
        <v>23066.7</v>
      </c>
      <c r="N24" s="751">
        <f t="shared" si="3"/>
        <v>1454.22</v>
      </c>
      <c r="O24" s="751">
        <f t="shared" si="3"/>
        <v>35922.19</v>
      </c>
      <c r="P24" s="295"/>
      <c r="R24" s="281"/>
      <c r="S24" s="281"/>
      <c r="T24" s="281"/>
    </row>
    <row r="25" spans="2:16" ht="12.75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ht="12.75">
      <c r="B26" s="262" t="s">
        <v>141</v>
      </c>
    </row>
    <row r="27" ht="12.75">
      <c r="B27" s="262" t="s">
        <v>396</v>
      </c>
    </row>
    <row r="28" ht="12.75">
      <c r="B28" s="262" t="s">
        <v>194</v>
      </c>
    </row>
    <row r="29" ht="12.75">
      <c r="B29" s="262" t="s">
        <v>602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  <row r="43" ht="12.75">
      <c r="H43" s="262" t="s">
        <v>979</v>
      </c>
    </row>
  </sheetData>
  <sheetProtection/>
  <mergeCells count="62"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12:P12"/>
    <mergeCell ref="O10:P10"/>
    <mergeCell ref="O9:P9"/>
    <mergeCell ref="K10:L10"/>
    <mergeCell ref="K9:L9"/>
    <mergeCell ref="I12:I13"/>
    <mergeCell ref="H10:J10"/>
    <mergeCell ref="L12:N12"/>
    <mergeCell ref="M10:N10"/>
    <mergeCell ref="O8:P8"/>
    <mergeCell ref="E6:F6"/>
    <mergeCell ref="K6:L6"/>
    <mergeCell ref="M6:N6"/>
    <mergeCell ref="O7:P7"/>
    <mergeCell ref="E7:F7"/>
    <mergeCell ref="E8:F8"/>
    <mergeCell ref="E9:F9"/>
    <mergeCell ref="E10:F10"/>
    <mergeCell ref="E16:F16"/>
    <mergeCell ref="E15:F15"/>
    <mergeCell ref="E14:F14"/>
    <mergeCell ref="H9:J9"/>
    <mergeCell ref="J12:K12"/>
    <mergeCell ref="E12:F13"/>
    <mergeCell ref="E17:F17"/>
    <mergeCell ref="E18:F18"/>
    <mergeCell ref="E19:F19"/>
    <mergeCell ref="E24:F24"/>
    <mergeCell ref="E20:F20"/>
    <mergeCell ref="E21:F21"/>
    <mergeCell ref="E22:F22"/>
    <mergeCell ref="E23:F23"/>
  </mergeCells>
  <dataValidations count="5">
    <dataValidation type="list" allowBlank="1" showInputMessage="1" showErrorMessage="1" promptTitle="Tipo" prompt="Deberá indicar seleccionar el mismo&#10;" sqref="G15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  <dataValidation type="list" allowBlank="1" showInputMessage="1" showErrorMessage="1" promptTitle="Tipo" prompt="Deberá indicar seleccionar el mismo&#10;" sqref="G14">
      <formula1>$E$39:$E$42</formula1>
    </dataValidation>
  </dataValidations>
  <printOptions horizontalCentered="1" verticalCentered="1"/>
  <pageMargins left="0.21" right="0.15748031496062992" top="0.7874015748031497" bottom="0.2362204724409449" header="0.5118110236220472" footer="0.2362204724409449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343" t="s">
        <v>97</v>
      </c>
      <c r="B1" s="1344"/>
      <c r="C1" s="1344"/>
      <c r="D1" s="1344"/>
      <c r="E1" s="1344"/>
      <c r="F1" s="1344"/>
      <c r="G1" s="1345"/>
      <c r="H1" s="108">
        <v>2011</v>
      </c>
      <c r="I1"/>
      <c r="J1"/>
    </row>
    <row r="2" spans="1:10" s="110" customFormat="1" ht="17.25" thickBot="1">
      <c r="A2" s="1346" t="s">
        <v>98</v>
      </c>
      <c r="B2" s="1347"/>
      <c r="C2" s="1347"/>
      <c r="D2" s="1347"/>
      <c r="E2" s="1347"/>
      <c r="F2" s="1347"/>
      <c r="G2" s="1348"/>
      <c r="H2" s="120" t="s">
        <v>612</v>
      </c>
      <c r="I2"/>
      <c r="J2"/>
    </row>
    <row r="3" spans="1:8" ht="13.5" customHeight="1" thickBot="1">
      <c r="A3" s="1349" t="s">
        <v>99</v>
      </c>
      <c r="B3" s="1350"/>
      <c r="C3" s="1350"/>
      <c r="D3" s="1350"/>
      <c r="E3" s="1350"/>
      <c r="F3" s="1350"/>
      <c r="G3" s="1350"/>
      <c r="H3" s="1351"/>
    </row>
    <row r="4" spans="3:8" ht="20.25" customHeight="1">
      <c r="C4" s="1352">
        <v>2009</v>
      </c>
      <c r="D4" s="1352"/>
      <c r="E4" s="1352" t="s">
        <v>695</v>
      </c>
      <c r="F4" s="1352"/>
      <c r="G4" s="1352" t="s">
        <v>694</v>
      </c>
      <c r="H4" s="1352"/>
    </row>
    <row r="5" spans="1:8" ht="24.75">
      <c r="A5" s="111" t="s">
        <v>100</v>
      </c>
      <c r="B5" s="111" t="s">
        <v>613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8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341" t="s">
        <v>145</v>
      </c>
      <c r="B15" s="1342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340">
        <v>2009</v>
      </c>
      <c r="D17" s="1340"/>
      <c r="E17" s="1340" t="s">
        <v>695</v>
      </c>
      <c r="F17" s="1340"/>
      <c r="G17" s="1340" t="s">
        <v>694</v>
      </c>
      <c r="H17" s="1340"/>
    </row>
    <row r="18" spans="1:8" ht="24.75">
      <c r="A18" s="111" t="s">
        <v>106</v>
      </c>
      <c r="B18" s="111" t="s">
        <v>613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341" t="s">
        <v>145</v>
      </c>
      <c r="B28" s="1342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614</v>
      </c>
    </row>
    <row r="32" ht="54" customHeight="1"/>
  </sheetData>
  <sheetProtection/>
  <mergeCells count="11">
    <mergeCell ref="G4:H4"/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zoomScalePageLayoutView="0" workbookViewId="0" topLeftCell="A1">
      <selection activeCell="E29" sqref="E29"/>
    </sheetView>
  </sheetViews>
  <sheetFormatPr defaultColWidth="11.57421875" defaultRowHeight="12.75"/>
  <cols>
    <col min="1" max="1" width="10.28125" style="262" customWidth="1"/>
    <col min="2" max="2" width="19.8515625" style="262" hidden="1" customWidth="1"/>
    <col min="3" max="3" width="26.28125" style="262" customWidth="1"/>
    <col min="4" max="4" width="13.28125" style="262" customWidth="1"/>
    <col min="5" max="5" width="10.57421875" style="262" customWidth="1"/>
    <col min="6" max="6" width="13.851562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4.7109375" style="262" bestFit="1" customWidth="1"/>
    <col min="14" max="14" width="13.00390625" style="262" bestFit="1" customWidth="1"/>
    <col min="15" max="15" width="12.57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57421875" style="262" customWidth="1"/>
  </cols>
  <sheetData>
    <row r="1" spans="1:14" ht="13.5" thickBot="1">
      <c r="A1" s="301"/>
      <c r="N1" s="302"/>
    </row>
    <row r="2" spans="1:19" s="279" customFormat="1" ht="36" customHeight="1" thickBot="1">
      <c r="A2" s="1337" t="s">
        <v>600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9"/>
      <c r="N2" s="1327">
        <f>CPYG!E2</f>
        <v>2017</v>
      </c>
      <c r="O2" s="1328"/>
      <c r="Q2" s="281"/>
      <c r="R2" s="281"/>
      <c r="S2" s="281"/>
    </row>
    <row r="3" spans="1:15" ht="34.5" customHeight="1" thickBot="1">
      <c r="A3" s="1333" t="str">
        <f>CPYG!B3</f>
        <v>ENTIDAD: SPET</v>
      </c>
      <c r="B3" s="1334"/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5"/>
      <c r="N3" s="1333" t="s">
        <v>199</v>
      </c>
      <c r="O3" s="1335"/>
    </row>
    <row r="4" spans="1:15" ht="24.75" customHeight="1">
      <c r="A4" s="1353" t="s">
        <v>195</v>
      </c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  <c r="N4" s="1314"/>
      <c r="O4" s="1354"/>
    </row>
    <row r="5" spans="1:15" ht="40.5" customHeight="1">
      <c r="A5" s="1355" t="s">
        <v>812</v>
      </c>
      <c r="B5" s="265"/>
      <c r="C5" s="1311" t="s">
        <v>813</v>
      </c>
      <c r="D5" s="1306" t="s">
        <v>814</v>
      </c>
      <c r="E5" s="1307"/>
      <c r="F5" s="1311" t="s">
        <v>815</v>
      </c>
      <c r="G5" s="1313" t="s">
        <v>394</v>
      </c>
      <c r="H5" s="1313" t="s">
        <v>395</v>
      </c>
      <c r="I5" s="1304" t="s">
        <v>546</v>
      </c>
      <c r="J5" s="1315"/>
      <c r="K5" s="1305"/>
      <c r="L5" s="1304" t="s">
        <v>547</v>
      </c>
      <c r="M5" s="1315"/>
      <c r="N5" s="1315"/>
      <c r="O5" s="1332"/>
    </row>
    <row r="6" spans="1:19" ht="73.5" customHeight="1">
      <c r="A6" s="1353"/>
      <c r="B6" s="265"/>
      <c r="C6" s="1311"/>
      <c r="D6" s="1308"/>
      <c r="E6" s="1309"/>
      <c r="F6" s="1311"/>
      <c r="G6" s="1314"/>
      <c r="H6" s="1314"/>
      <c r="I6" s="270" t="s">
        <v>601</v>
      </c>
      <c r="J6" s="270" t="s">
        <v>548</v>
      </c>
      <c r="K6" s="264" t="s">
        <v>196</v>
      </c>
      <c r="L6" s="270" t="s">
        <v>549</v>
      </c>
      <c r="M6" s="265" t="s">
        <v>550</v>
      </c>
      <c r="N6" s="264" t="s">
        <v>545</v>
      </c>
      <c r="O6" s="271" t="s">
        <v>196</v>
      </c>
      <c r="Q6" s="272" t="s">
        <v>139</v>
      </c>
      <c r="R6" s="263" t="s">
        <v>615</v>
      </c>
      <c r="S6" s="263" t="s">
        <v>616</v>
      </c>
    </row>
    <row r="7" spans="1:19" s="279" customFormat="1" ht="19.5" customHeight="1">
      <c r="A7" s="273"/>
      <c r="B7" s="274"/>
      <c r="C7" s="274"/>
      <c r="D7" s="1295"/>
      <c r="E7" s="1296"/>
      <c r="F7" s="268"/>
      <c r="G7" s="275"/>
      <c r="H7" s="275"/>
      <c r="I7" s="276"/>
      <c r="J7" s="276"/>
      <c r="K7" s="651"/>
      <c r="L7" s="276"/>
      <c r="M7" s="276"/>
      <c r="N7" s="666"/>
      <c r="O7" s="278"/>
      <c r="Q7" s="280"/>
      <c r="R7" s="281"/>
      <c r="S7" s="281"/>
    </row>
    <row r="8" spans="1:19" s="279" customFormat="1" ht="19.5" customHeight="1">
      <c r="A8" s="282"/>
      <c r="B8" s="274"/>
      <c r="C8" s="274"/>
      <c r="D8" s="1295"/>
      <c r="E8" s="1296"/>
      <c r="F8" s="268"/>
      <c r="G8" s="275"/>
      <c r="H8" s="275"/>
      <c r="I8" s="276"/>
      <c r="J8" s="276"/>
      <c r="K8" s="651"/>
      <c r="L8" s="276"/>
      <c r="M8" s="276"/>
      <c r="N8" s="666"/>
      <c r="O8" s="278"/>
      <c r="Q8" s="280"/>
      <c r="R8" s="281"/>
      <c r="S8" s="281"/>
    </row>
    <row r="9" spans="1:19" s="279" customFormat="1" ht="19.5" customHeight="1">
      <c r="A9" s="282"/>
      <c r="B9" s="274"/>
      <c r="C9" s="274"/>
      <c r="D9" s="1295"/>
      <c r="E9" s="1296"/>
      <c r="F9" s="268"/>
      <c r="G9" s="275"/>
      <c r="H9" s="275"/>
      <c r="I9" s="276"/>
      <c r="J9" s="276"/>
      <c r="K9" s="578"/>
      <c r="L9" s="276"/>
      <c r="M9" s="276"/>
      <c r="N9" s="277"/>
      <c r="O9" s="278"/>
      <c r="P9" s="279">
        <f aca="true" t="shared" si="0" ref="P9:P16">+P8+1</f>
        <v>1</v>
      </c>
      <c r="Q9" s="280">
        <f aca="true" t="shared" si="1" ref="Q9:Q16">+S9-R9</f>
        <v>-439663.17</v>
      </c>
      <c r="R9" s="281">
        <v>439663.17</v>
      </c>
      <c r="S9" s="281">
        <f aca="true" t="shared" si="2" ref="S9:S16">+R8</f>
        <v>0</v>
      </c>
    </row>
    <row r="10" spans="1:19" s="279" customFormat="1" ht="19.5" customHeight="1">
      <c r="A10" s="282"/>
      <c r="B10" s="274"/>
      <c r="C10" s="274"/>
      <c r="D10" s="1295"/>
      <c r="E10" s="1296"/>
      <c r="F10" s="268"/>
      <c r="G10" s="275"/>
      <c r="H10" s="275"/>
      <c r="I10" s="276"/>
      <c r="J10" s="276"/>
      <c r="K10" s="578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5" customHeight="1">
      <c r="A11" s="282"/>
      <c r="B11" s="274"/>
      <c r="C11" s="274"/>
      <c r="D11" s="1295"/>
      <c r="E11" s="1296"/>
      <c r="F11" s="268"/>
      <c r="G11" s="275"/>
      <c r="H11" s="275"/>
      <c r="I11" s="276"/>
      <c r="J11" s="276"/>
      <c r="K11" s="578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</v>
      </c>
      <c r="R11" s="281">
        <v>324162.58</v>
      </c>
      <c r="S11" s="281">
        <f t="shared" si="2"/>
        <v>383493.01</v>
      </c>
    </row>
    <row r="12" spans="1:19" s="279" customFormat="1" ht="19.5" customHeight="1">
      <c r="A12" s="282"/>
      <c r="B12" s="274"/>
      <c r="C12" s="274"/>
      <c r="D12" s="1295"/>
      <c r="E12" s="1296"/>
      <c r="F12" s="268"/>
      <c r="G12" s="275"/>
      <c r="H12" s="275"/>
      <c r="I12" s="276"/>
      <c r="J12" s="276"/>
      <c r="K12" s="578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5" customHeight="1">
      <c r="A13" s="282"/>
      <c r="B13" s="274"/>
      <c r="C13" s="274"/>
      <c r="D13" s="1295"/>
      <c r="E13" s="1296"/>
      <c r="F13" s="268"/>
      <c r="G13" s="268"/>
      <c r="H13" s="268"/>
      <c r="I13" s="283"/>
      <c r="J13" s="283"/>
      <c r="K13" s="578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5" customHeight="1">
      <c r="A14" s="282"/>
      <c r="B14" s="274"/>
      <c r="C14" s="274"/>
      <c r="D14" s="1295"/>
      <c r="E14" s="1296"/>
      <c r="F14" s="268"/>
      <c r="G14" s="268"/>
      <c r="H14" s="268"/>
      <c r="I14" s="283"/>
      <c r="J14" s="283"/>
      <c r="K14" s="578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5" customHeight="1">
      <c r="A15" s="282"/>
      <c r="B15" s="274"/>
      <c r="C15" s="274"/>
      <c r="D15" s="1295"/>
      <c r="E15" s="1296"/>
      <c r="F15" s="268"/>
      <c r="G15" s="268"/>
      <c r="H15" s="268"/>
      <c r="I15" s="283"/>
      <c r="J15" s="283"/>
      <c r="K15" s="578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5" customHeight="1" thickBot="1">
      <c r="A16" s="285"/>
      <c r="B16" s="274"/>
      <c r="C16" s="286"/>
      <c r="D16" s="1299"/>
      <c r="E16" s="1300"/>
      <c r="F16" s="287"/>
      <c r="G16" s="287"/>
      <c r="H16" s="287"/>
      <c r="I16" s="288"/>
      <c r="J16" s="288"/>
      <c r="K16" s="579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5" customHeight="1" thickBot="1">
      <c r="A17" s="291" t="s">
        <v>145</v>
      </c>
      <c r="B17" s="292"/>
      <c r="C17" s="293"/>
      <c r="D17" s="1297"/>
      <c r="E17" s="1298"/>
      <c r="F17" s="294"/>
      <c r="G17" s="294"/>
      <c r="H17" s="294"/>
      <c r="I17" s="751">
        <f aca="true" t="shared" si="3" ref="I17:N17">SUM(I7:I16)</f>
        <v>0</v>
      </c>
      <c r="J17" s="751">
        <f t="shared" si="3"/>
        <v>0</v>
      </c>
      <c r="K17" s="520"/>
      <c r="L17" s="751">
        <f t="shared" si="3"/>
        <v>0</v>
      </c>
      <c r="M17" s="751">
        <f t="shared" si="3"/>
        <v>0</v>
      </c>
      <c r="N17" s="751">
        <f t="shared" si="3"/>
        <v>0</v>
      </c>
      <c r="O17" s="295"/>
      <c r="Q17" s="281"/>
      <c r="R17" s="281"/>
      <c r="S17" s="281"/>
    </row>
    <row r="18" spans="1:15" ht="12.75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ht="12.75">
      <c r="A19" s="262" t="s">
        <v>141</v>
      </c>
    </row>
    <row r="20" ht="12.75">
      <c r="A20" s="262" t="s">
        <v>396</v>
      </c>
    </row>
    <row r="21" ht="12.75">
      <c r="A21" s="262" t="s">
        <v>206</v>
      </c>
    </row>
    <row r="22" ht="12.75">
      <c r="A22" s="262" t="s">
        <v>602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0:E10"/>
    <mergeCell ref="H5:H6"/>
    <mergeCell ref="D8:E8"/>
    <mergeCell ref="D7:E7"/>
    <mergeCell ref="A2:M2"/>
    <mergeCell ref="N2:O2"/>
    <mergeCell ref="A3:M3"/>
    <mergeCell ref="N3:O3"/>
    <mergeCell ref="D12:E12"/>
    <mergeCell ref="D17:E17"/>
    <mergeCell ref="D13:E13"/>
    <mergeCell ref="D14:E14"/>
    <mergeCell ref="D15:E15"/>
    <mergeCell ref="D16:E16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B4" sqref="B4:I4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1052" t="s">
        <v>643</v>
      </c>
      <c r="C3" s="1053"/>
      <c r="D3" s="1053"/>
      <c r="E3" s="1053"/>
      <c r="F3" s="1053"/>
      <c r="G3" s="1053"/>
      <c r="H3" s="1053"/>
      <c r="I3" s="735">
        <v>2017</v>
      </c>
    </row>
    <row r="4" spans="2:9" s="736" customFormat="1" ht="27.75" customHeight="1">
      <c r="B4" s="1054" t="s">
        <v>980</v>
      </c>
      <c r="C4" s="1055"/>
      <c r="D4" s="1055"/>
      <c r="E4" s="1055"/>
      <c r="F4" s="1055"/>
      <c r="G4" s="1055"/>
      <c r="H4" s="1055"/>
      <c r="I4" s="1056"/>
    </row>
    <row r="5" spans="2:9" ht="12.75">
      <c r="B5" s="737"/>
      <c r="C5" s="738"/>
      <c r="D5" s="738"/>
      <c r="E5" s="738"/>
      <c r="F5" s="738"/>
      <c r="G5" s="738"/>
      <c r="H5" s="738"/>
      <c r="I5" s="739"/>
    </row>
    <row r="6" spans="2:9" ht="15.75">
      <c r="B6" s="740" t="s">
        <v>366</v>
      </c>
      <c r="C6" s="741"/>
      <c r="D6" s="741"/>
      <c r="E6" s="738"/>
      <c r="F6" s="738"/>
      <c r="G6" s="738"/>
      <c r="H6" s="738"/>
      <c r="I6" s="739"/>
    </row>
    <row r="7" spans="2:9" ht="12.75">
      <c r="B7" s="737"/>
      <c r="C7" s="738"/>
      <c r="D7" s="738"/>
      <c r="E7" s="738"/>
      <c r="F7" s="738"/>
      <c r="G7" s="738"/>
      <c r="H7" s="738"/>
      <c r="I7" s="739"/>
    </row>
    <row r="8" spans="2:9" ht="12.75">
      <c r="B8" s="742" t="s">
        <v>636</v>
      </c>
      <c r="C8" s="741"/>
      <c r="D8" s="741"/>
      <c r="E8" s="738"/>
      <c r="F8" s="738"/>
      <c r="G8" s="738"/>
      <c r="H8" s="738"/>
      <c r="I8" s="1024">
        <v>12</v>
      </c>
    </row>
    <row r="9" spans="2:9" ht="12.75">
      <c r="B9" s="737"/>
      <c r="C9" s="738"/>
      <c r="D9" s="738"/>
      <c r="E9" s="738"/>
      <c r="F9" s="738"/>
      <c r="G9" s="738"/>
      <c r="H9" s="738"/>
      <c r="I9" s="1025"/>
    </row>
    <row r="10" spans="2:9" ht="12.75">
      <c r="B10" s="737"/>
      <c r="C10" s="738" t="s">
        <v>637</v>
      </c>
      <c r="D10" s="738"/>
      <c r="E10" s="738"/>
      <c r="F10" s="738"/>
      <c r="G10" s="738"/>
      <c r="H10" s="738"/>
      <c r="I10" s="1024">
        <v>9</v>
      </c>
    </row>
    <row r="11" spans="2:9" ht="12.75">
      <c r="B11" s="737"/>
      <c r="C11" s="743" t="s">
        <v>638</v>
      </c>
      <c r="D11" s="738" t="s">
        <v>639</v>
      </c>
      <c r="E11" s="738"/>
      <c r="F11" s="738"/>
      <c r="G11" s="738"/>
      <c r="H11" s="738"/>
      <c r="I11" s="1024">
        <v>5</v>
      </c>
    </row>
    <row r="12" spans="2:9" ht="12.75">
      <c r="B12" s="737"/>
      <c r="C12" s="743" t="s">
        <v>640</v>
      </c>
      <c r="D12" s="738" t="s">
        <v>641</v>
      </c>
      <c r="E12" s="738"/>
      <c r="F12" s="738"/>
      <c r="G12" s="738"/>
      <c r="H12" s="738"/>
      <c r="I12" s="1024">
        <v>4</v>
      </c>
    </row>
    <row r="13" spans="2:9" ht="7.5" customHeight="1">
      <c r="B13" s="737"/>
      <c r="C13" s="738"/>
      <c r="D13" s="738"/>
      <c r="E13" s="738"/>
      <c r="F13" s="738"/>
      <c r="G13" s="738"/>
      <c r="H13" s="738"/>
      <c r="I13" s="1025"/>
    </row>
    <row r="14" spans="2:9" ht="12.75">
      <c r="B14" s="737"/>
      <c r="C14" s="738" t="s">
        <v>642</v>
      </c>
      <c r="D14" s="738"/>
      <c r="E14" s="738"/>
      <c r="F14" s="738"/>
      <c r="G14" s="738"/>
      <c r="H14" s="738"/>
      <c r="I14" s="1024">
        <v>3</v>
      </c>
    </row>
    <row r="15" spans="2:9" ht="13.5" thickBot="1">
      <c r="B15" s="745"/>
      <c r="C15" s="746"/>
      <c r="D15" s="746"/>
      <c r="E15" s="746"/>
      <c r="F15" s="746"/>
      <c r="G15" s="746"/>
      <c r="H15" s="746"/>
      <c r="I15" s="747"/>
    </row>
  </sheetData>
  <sheetProtection/>
  <mergeCells count="2">
    <mergeCell ref="B3:H3"/>
    <mergeCell ref="B4:I4"/>
  </mergeCells>
  <printOptions/>
  <pageMargins left="0.75" right="0.25" top="1" bottom="1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">
      <selection activeCell="I20" sqref="I20:I21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362" t="s">
        <v>322</v>
      </c>
      <c r="C2" s="1363"/>
      <c r="D2" s="1363"/>
      <c r="E2" s="1363"/>
      <c r="F2" s="1363"/>
      <c r="G2" s="1363"/>
      <c r="H2" s="1363"/>
      <c r="I2" s="1360">
        <v>2017</v>
      </c>
    </row>
    <row r="3" spans="2:9" ht="24.75" customHeight="1" thickBot="1">
      <c r="B3" s="1364" t="s">
        <v>343</v>
      </c>
      <c r="C3" s="1365"/>
      <c r="D3" s="1365"/>
      <c r="E3" s="1365"/>
      <c r="F3" s="1365"/>
      <c r="G3" s="1365"/>
      <c r="H3" s="1365"/>
      <c r="I3" s="1361"/>
    </row>
    <row r="4" spans="2:9" ht="33" customHeight="1" thickBot="1">
      <c r="B4" s="1366" t="str">
        <f>CPYG!B3</f>
        <v>ENTIDAD: SPET</v>
      </c>
      <c r="C4" s="1367"/>
      <c r="D4" s="1367"/>
      <c r="E4" s="1367"/>
      <c r="F4" s="1367"/>
      <c r="G4" s="1367"/>
      <c r="H4" s="1368"/>
      <c r="I4" s="303" t="s">
        <v>198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370" t="s">
        <v>344</v>
      </c>
      <c r="D6" s="1370"/>
      <c r="E6" s="1370"/>
      <c r="F6" s="1370"/>
      <c r="G6" s="1370"/>
      <c r="H6" s="1370"/>
      <c r="I6" s="1371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356" t="s">
        <v>345</v>
      </c>
      <c r="C8" s="1357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4" t="s">
        <v>387</v>
      </c>
      <c r="C10" s="305" t="s">
        <v>346</v>
      </c>
      <c r="D10" s="305"/>
      <c r="E10" s="305"/>
      <c r="F10" s="158"/>
      <c r="G10" s="158"/>
      <c r="H10" s="158"/>
      <c r="I10" s="232"/>
    </row>
    <row r="11" spans="2:9" ht="12.75">
      <c r="B11" s="304"/>
      <c r="C11" s="305" t="s">
        <v>347</v>
      </c>
      <c r="D11" s="305"/>
      <c r="E11" s="305"/>
      <c r="F11" s="158"/>
      <c r="G11" s="158"/>
      <c r="H11" s="158"/>
      <c r="I11" s="232"/>
    </row>
    <row r="12" spans="2:9" ht="12.75">
      <c r="B12" s="304"/>
      <c r="C12" s="305" t="s">
        <v>349</v>
      </c>
      <c r="D12" s="305"/>
      <c r="E12" s="305"/>
      <c r="F12" s="158"/>
      <c r="G12" s="158"/>
      <c r="H12" s="158"/>
      <c r="I12" s="232"/>
    </row>
    <row r="13" spans="2:9" ht="12.75">
      <c r="B13" s="304"/>
      <c r="C13" s="305" t="s">
        <v>350</v>
      </c>
      <c r="D13" s="305"/>
      <c r="E13" s="305"/>
      <c r="F13" s="158"/>
      <c r="G13" s="158"/>
      <c r="H13" s="158"/>
      <c r="I13" s="232"/>
    </row>
    <row r="14" spans="2:9" ht="12.75">
      <c r="B14" s="304"/>
      <c r="C14" s="305" t="s">
        <v>351</v>
      </c>
      <c r="D14" s="305"/>
      <c r="E14" s="305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356" t="s">
        <v>352</v>
      </c>
      <c r="C16" s="1357"/>
      <c r="D16" s="1357"/>
      <c r="E16" s="1357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373" t="s">
        <v>353</v>
      </c>
      <c r="C18" s="1374"/>
      <c r="D18" s="1374"/>
      <c r="E18" s="1374"/>
      <c r="F18" s="1375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372" t="s">
        <v>354</v>
      </c>
      <c r="H20" s="1372"/>
      <c r="I20" s="1026">
        <f>D36</f>
        <v>45</v>
      </c>
    </row>
    <row r="21" spans="2:12" ht="12.75">
      <c r="B21" s="231"/>
      <c r="C21" s="158"/>
      <c r="D21" s="158"/>
      <c r="E21" s="158"/>
      <c r="F21" s="158"/>
      <c r="G21" s="1372" t="s">
        <v>355</v>
      </c>
      <c r="H21" s="1372"/>
      <c r="I21" s="1026">
        <f>I36+I44</f>
        <v>1977829.09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652"/>
    </row>
    <row r="25" spans="2:9" ht="12.75">
      <c r="B25" s="1356" t="s">
        <v>356</v>
      </c>
      <c r="C25" s="1357"/>
      <c r="D25" s="1357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291" t="s">
        <v>357</v>
      </c>
      <c r="C27" s="1395"/>
      <c r="D27" s="1369" t="s">
        <v>358</v>
      </c>
      <c r="E27" s="1369" t="s">
        <v>359</v>
      </c>
      <c r="F27" s="1369"/>
      <c r="G27" s="1369"/>
      <c r="H27" s="1369"/>
      <c r="I27" s="1369"/>
    </row>
    <row r="28" spans="2:9" ht="13.5" thickBot="1">
      <c r="B28" s="1396"/>
      <c r="C28" s="1397"/>
      <c r="D28" s="1369"/>
      <c r="E28" s="1369" t="s">
        <v>360</v>
      </c>
      <c r="F28" s="1369" t="s">
        <v>361</v>
      </c>
      <c r="G28" s="1369" t="s">
        <v>362</v>
      </c>
      <c r="H28" s="1369" t="s">
        <v>363</v>
      </c>
      <c r="I28" s="1369" t="s">
        <v>365</v>
      </c>
    </row>
    <row r="29" spans="2:9" ht="13.5" thickBot="1">
      <c r="B29" s="1288"/>
      <c r="C29" s="1398"/>
      <c r="D29" s="1369"/>
      <c r="E29" s="1369"/>
      <c r="F29" s="1369"/>
      <c r="G29" s="1369"/>
      <c r="H29" s="1369"/>
      <c r="I29" s="1369"/>
    </row>
    <row r="30" spans="2:9" ht="15" customHeight="1">
      <c r="B30" s="1358" t="s">
        <v>366</v>
      </c>
      <c r="C30" s="1359"/>
      <c r="D30" s="307"/>
      <c r="E30" s="307"/>
      <c r="F30" s="307"/>
      <c r="G30" s="307"/>
      <c r="H30" s="307"/>
      <c r="I30" s="308">
        <f aca="true" t="shared" si="0" ref="I30:I35">E30+F30+G30+H30</f>
        <v>0</v>
      </c>
    </row>
    <row r="31" spans="2:9" ht="15" customHeight="1">
      <c r="B31" s="1358" t="s">
        <v>367</v>
      </c>
      <c r="C31" s="1359"/>
      <c r="D31" s="309">
        <v>1</v>
      </c>
      <c r="E31" s="309">
        <v>62109.04</v>
      </c>
      <c r="F31" s="309"/>
      <c r="G31" s="309"/>
      <c r="H31" s="309"/>
      <c r="I31" s="310">
        <f t="shared" si="0"/>
        <v>62109.04</v>
      </c>
    </row>
    <row r="32" spans="2:9" ht="15" customHeight="1">
      <c r="B32" s="1358" t="s">
        <v>368</v>
      </c>
      <c r="C32" s="1359"/>
      <c r="D32" s="309">
        <v>9</v>
      </c>
      <c r="E32" s="309">
        <v>434546.29</v>
      </c>
      <c r="F32" s="309"/>
      <c r="G32" s="309"/>
      <c r="H32" s="309"/>
      <c r="I32" s="310">
        <f t="shared" si="0"/>
        <v>434546.29</v>
      </c>
    </row>
    <row r="33" spans="2:9" ht="15" customHeight="1">
      <c r="B33" s="1358" t="s">
        <v>369</v>
      </c>
      <c r="C33" s="1359"/>
      <c r="D33" s="309">
        <v>27</v>
      </c>
      <c r="E33" s="309">
        <f>+SUM('LF 2017 (Personal)'!E10:H36)</f>
        <v>839403.8500000003</v>
      </c>
      <c r="F33" s="309"/>
      <c r="G33" s="309"/>
      <c r="H33" s="309"/>
      <c r="I33" s="310">
        <f t="shared" si="0"/>
        <v>839403.8500000003</v>
      </c>
    </row>
    <row r="34" spans="2:9" ht="15" customHeight="1">
      <c r="B34" s="1358" t="s">
        <v>370</v>
      </c>
      <c r="C34" s="1359"/>
      <c r="D34" s="309">
        <v>8</v>
      </c>
      <c r="E34" s="309">
        <f>+SUM('LT 2017 (Personal)'!E10:H17)</f>
        <v>184722.44</v>
      </c>
      <c r="F34" s="309"/>
      <c r="G34" s="309"/>
      <c r="H34" s="309"/>
      <c r="I34" s="310">
        <f t="shared" si="0"/>
        <v>184722.44</v>
      </c>
    </row>
    <row r="35" spans="2:9" ht="15" customHeight="1">
      <c r="B35" s="1358" t="s">
        <v>42</v>
      </c>
      <c r="C35" s="1359"/>
      <c r="D35" s="309"/>
      <c r="E35" s="309"/>
      <c r="F35" s="309"/>
      <c r="G35" s="309"/>
      <c r="H35" s="309"/>
      <c r="I35" s="310">
        <f t="shared" si="0"/>
        <v>0</v>
      </c>
    </row>
    <row r="36" spans="2:9" ht="15" customHeight="1" thickBot="1">
      <c r="B36" s="1386" t="s">
        <v>628</v>
      </c>
      <c r="C36" s="1387"/>
      <c r="D36" s="311">
        <f aca="true" t="shared" si="1" ref="D36:I36">D30+D31+D32+D33+D34+D35</f>
        <v>45</v>
      </c>
      <c r="E36" s="311">
        <f t="shared" si="1"/>
        <v>1520781.62</v>
      </c>
      <c r="F36" s="311">
        <f t="shared" si="1"/>
        <v>0</v>
      </c>
      <c r="G36" s="311">
        <f t="shared" si="1"/>
        <v>0</v>
      </c>
      <c r="H36" s="311">
        <f t="shared" si="1"/>
        <v>0</v>
      </c>
      <c r="I36" s="312">
        <f t="shared" si="1"/>
        <v>1520781.62</v>
      </c>
    </row>
    <row r="37" spans="2:9" ht="12.75">
      <c r="B37" s="231"/>
      <c r="C37" s="158"/>
      <c r="D37" s="158"/>
      <c r="E37" s="158"/>
      <c r="F37" s="158"/>
      <c r="G37" s="158"/>
      <c r="H37" s="158"/>
      <c r="I37" s="652">
        <f>+I36-1520781.62</f>
        <v>0</v>
      </c>
    </row>
    <row r="38" spans="2:9" ht="12.75">
      <c r="B38" s="231"/>
      <c r="C38" s="158"/>
      <c r="D38" s="764"/>
      <c r="E38" s="158"/>
      <c r="F38" s="158"/>
      <c r="G38" s="158"/>
      <c r="H38" s="158"/>
      <c r="I38" s="232"/>
    </row>
    <row r="39" spans="2:9" ht="12.75">
      <c r="B39" s="1356" t="s">
        <v>371</v>
      </c>
      <c r="C39" s="1357"/>
      <c r="D39" s="1357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388" t="s">
        <v>613</v>
      </c>
      <c r="C41" s="1389"/>
      <c r="D41" s="1389"/>
      <c r="E41" s="1390"/>
      <c r="F41" s="1392" t="s">
        <v>120</v>
      </c>
      <c r="G41" s="1393"/>
      <c r="H41" s="1393"/>
      <c r="I41" s="1394"/>
    </row>
    <row r="42" spans="2:9" ht="15" customHeight="1">
      <c r="B42" s="1358" t="s">
        <v>388</v>
      </c>
      <c r="C42" s="1385"/>
      <c r="D42" s="306"/>
      <c r="E42" s="158"/>
      <c r="F42" s="158"/>
      <c r="G42" s="158"/>
      <c r="H42" s="158"/>
      <c r="I42" s="313">
        <f>-CPYG!E34-CPYG!E31</f>
        <v>0</v>
      </c>
    </row>
    <row r="43" spans="2:9" ht="15" customHeight="1">
      <c r="B43" s="1358" t="s">
        <v>372</v>
      </c>
      <c r="C43" s="1385"/>
      <c r="D43" s="306"/>
      <c r="E43" s="158"/>
      <c r="F43" s="158"/>
      <c r="G43" s="158"/>
      <c r="H43" s="158"/>
      <c r="I43" s="314">
        <v>457047.47</v>
      </c>
    </row>
    <row r="44" spans="2:9" ht="15" customHeight="1" thickBot="1">
      <c r="B44" s="1386" t="s">
        <v>373</v>
      </c>
      <c r="C44" s="1391"/>
      <c r="D44" s="315"/>
      <c r="E44" s="316"/>
      <c r="F44" s="316"/>
      <c r="G44" s="316"/>
      <c r="H44" s="316"/>
      <c r="I44" s="317">
        <f>I42+I43</f>
        <v>457047.47</v>
      </c>
    </row>
    <row r="45" spans="2:9" ht="12.75">
      <c r="B45" s="231"/>
      <c r="C45" s="158"/>
      <c r="D45" s="158"/>
      <c r="E45" s="158"/>
      <c r="F45" s="158"/>
      <c r="G45" s="158"/>
      <c r="H45" s="158"/>
      <c r="I45" s="652">
        <f>+I44-SUM('PD 2017 (Personal)'!M10:M19)-SUM('LF 2017 (Personal)'!M10:M36)-SUM('LT 2017 (Personal)'!M10:M17)</f>
        <v>-7.275957614183426E-11</v>
      </c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8" t="s">
        <v>374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376" t="s">
        <v>43</v>
      </c>
      <c r="C49" s="1377"/>
      <c r="D49" s="1377"/>
      <c r="E49" s="1377"/>
      <c r="F49" s="1377"/>
      <c r="G49" s="1377"/>
      <c r="H49" s="1377"/>
      <c r="I49" s="1378"/>
    </row>
    <row r="50" spans="2:9" ht="12.75">
      <c r="B50" s="1379"/>
      <c r="C50" s="1380"/>
      <c r="D50" s="1380"/>
      <c r="E50" s="1380"/>
      <c r="F50" s="1380"/>
      <c r="G50" s="1380"/>
      <c r="H50" s="1380"/>
      <c r="I50" s="1381"/>
    </row>
    <row r="51" spans="2:9" ht="12.75">
      <c r="B51" s="1379"/>
      <c r="C51" s="1380"/>
      <c r="D51" s="1380"/>
      <c r="E51" s="1380"/>
      <c r="F51" s="1380"/>
      <c r="G51" s="1380"/>
      <c r="H51" s="1380"/>
      <c r="I51" s="1381"/>
    </row>
    <row r="52" spans="2:9" ht="12.75">
      <c r="B52" s="1379"/>
      <c r="C52" s="1380"/>
      <c r="D52" s="1380"/>
      <c r="E52" s="1380"/>
      <c r="F52" s="1380"/>
      <c r="G52" s="1380"/>
      <c r="H52" s="1380"/>
      <c r="I52" s="1381"/>
    </row>
    <row r="53" spans="2:9" ht="12.75">
      <c r="B53" s="1382"/>
      <c r="C53" s="1383"/>
      <c r="D53" s="1383"/>
      <c r="E53" s="1383"/>
      <c r="F53" s="1383"/>
      <c r="G53" s="1383"/>
      <c r="H53" s="1383"/>
      <c r="I53" s="1384"/>
    </row>
    <row r="54" spans="2:9" ht="13.5" thickBot="1">
      <c r="B54" s="319"/>
      <c r="C54" s="316"/>
      <c r="D54" s="316"/>
      <c r="E54" s="316"/>
      <c r="F54" s="316"/>
      <c r="G54" s="316"/>
      <c r="H54" s="316"/>
      <c r="I54" s="320"/>
    </row>
  </sheetData>
  <sheetProtection/>
  <mergeCells count="33">
    <mergeCell ref="B44:C44"/>
    <mergeCell ref="B43:C43"/>
    <mergeCell ref="F41:I41"/>
    <mergeCell ref="D27:D29"/>
    <mergeCell ref="E28:E29"/>
    <mergeCell ref="B27:C29"/>
    <mergeCell ref="E27:I27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B41:E41"/>
    <mergeCell ref="C6:I6"/>
    <mergeCell ref="G20:H20"/>
    <mergeCell ref="B8:C8"/>
    <mergeCell ref="B16:E16"/>
    <mergeCell ref="B18:F18"/>
    <mergeCell ref="G21:H21"/>
    <mergeCell ref="B25:D25"/>
    <mergeCell ref="B34:C34"/>
    <mergeCell ref="I2:I3"/>
    <mergeCell ref="B2:H2"/>
    <mergeCell ref="B3:H3"/>
    <mergeCell ref="B4:H4"/>
    <mergeCell ref="H28:H29"/>
    <mergeCell ref="I28:I29"/>
    <mergeCell ref="F28:F29"/>
    <mergeCell ref="G28:G29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2.28125" style="856" customWidth="1"/>
    <col min="2" max="2" width="9.00390625" style="856" customWidth="1"/>
    <col min="3" max="3" width="8.8515625" style="856" customWidth="1"/>
    <col min="4" max="4" width="8.140625" style="856" customWidth="1"/>
    <col min="5" max="5" width="10.7109375" style="856" customWidth="1"/>
    <col min="6" max="6" width="12.28125" style="856" customWidth="1"/>
    <col min="7" max="7" width="11.57421875" style="856" customWidth="1"/>
    <col min="8" max="8" width="15.28125" style="856" customWidth="1"/>
    <col min="9" max="9" width="13.28125" style="856" customWidth="1"/>
    <col min="10" max="12" width="15.7109375" style="856" customWidth="1"/>
    <col min="13" max="13" width="11.421875" style="856" customWidth="1"/>
    <col min="14" max="14" width="6.28125" style="856" customWidth="1"/>
    <col min="15" max="15" width="15.8515625" style="856" customWidth="1"/>
    <col min="16" max="16" width="11.57421875" style="856" customWidth="1"/>
    <col min="17" max="17" width="18.7109375" style="856" customWidth="1"/>
    <col min="18" max="16384" width="11.57421875" style="856" customWidth="1"/>
  </cols>
  <sheetData>
    <row r="1" ht="19.5" customHeight="1"/>
    <row r="2" spans="2:17" s="843" customFormat="1" ht="11.25">
      <c r="B2" s="1399" t="s">
        <v>816</v>
      </c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842"/>
      <c r="P2" s="842"/>
      <c r="Q2" s="842"/>
    </row>
    <row r="3" s="844" customFormat="1" ht="11.25"/>
    <row r="4" spans="2:3" s="844" customFormat="1" ht="11.25">
      <c r="B4" s="845" t="s">
        <v>817</v>
      </c>
      <c r="C4" s="844" t="s">
        <v>981</v>
      </c>
    </row>
    <row r="5" s="844" customFormat="1" ht="11.25">
      <c r="B5" s="845"/>
    </row>
    <row r="6" spans="2:17" s="844" customFormat="1" ht="11.25">
      <c r="B6" s="842" t="s">
        <v>818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6"/>
      <c r="P6" s="846"/>
      <c r="Q6" s="846"/>
    </row>
    <row r="7" spans="2:17" s="844" customFormat="1" ht="11.25" customHeight="1" thickBot="1"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</row>
    <row r="8" spans="2:15" s="845" customFormat="1" ht="27" customHeight="1" thickBot="1">
      <c r="B8" s="848"/>
      <c r="C8" s="848"/>
      <c r="D8" s="848"/>
      <c r="E8" s="848"/>
      <c r="F8" s="1400" t="s">
        <v>819</v>
      </c>
      <c r="G8" s="1401"/>
      <c r="H8" s="848"/>
      <c r="I8" s="848"/>
      <c r="J8" s="1402" t="s">
        <v>820</v>
      </c>
      <c r="K8" s="1403"/>
      <c r="L8" s="1404"/>
      <c r="M8" s="848"/>
      <c r="N8" s="848"/>
      <c r="O8" s="848"/>
    </row>
    <row r="9" spans="2:15" s="853" customFormat="1" ht="27" customHeight="1">
      <c r="B9" s="849" t="s">
        <v>821</v>
      </c>
      <c r="C9" s="850" t="s">
        <v>822</v>
      </c>
      <c r="D9" s="851" t="s">
        <v>823</v>
      </c>
      <c r="E9" s="851" t="s">
        <v>824</v>
      </c>
      <c r="F9" s="857">
        <v>2016</v>
      </c>
      <c r="G9" s="858">
        <v>2017</v>
      </c>
      <c r="H9" s="851" t="s">
        <v>825</v>
      </c>
      <c r="I9" s="851" t="s">
        <v>826</v>
      </c>
      <c r="J9" s="851"/>
      <c r="K9" s="851"/>
      <c r="L9" s="851"/>
      <c r="M9" s="851" t="s">
        <v>827</v>
      </c>
      <c r="N9" s="851" t="s">
        <v>145</v>
      </c>
      <c r="O9" s="852" t="s">
        <v>828</v>
      </c>
    </row>
    <row r="10" spans="2:15" s="847" customFormat="1" ht="12">
      <c r="B10" s="859">
        <v>1</v>
      </c>
      <c r="C10" s="962" t="s">
        <v>933</v>
      </c>
      <c r="D10" s="854"/>
      <c r="E10" s="958">
        <v>33729.86</v>
      </c>
      <c r="F10" s="959"/>
      <c r="G10" s="958">
        <v>4331.8</v>
      </c>
      <c r="H10" s="958">
        <v>6800.24</v>
      </c>
      <c r="I10" s="959"/>
      <c r="J10" s="958"/>
      <c r="K10" s="958"/>
      <c r="L10" s="958"/>
      <c r="M10" s="958">
        <v>13788.6</v>
      </c>
      <c r="N10" s="854"/>
      <c r="O10" s="860"/>
    </row>
    <row r="11" spans="2:15" ht="12">
      <c r="B11" s="954">
        <v>2</v>
      </c>
      <c r="C11" s="962" t="s">
        <v>933</v>
      </c>
      <c r="D11" s="855"/>
      <c r="E11" s="959">
        <v>35895.42</v>
      </c>
      <c r="F11" s="959"/>
      <c r="G11" s="959">
        <v>0</v>
      </c>
      <c r="H11" s="959">
        <v>5589.12</v>
      </c>
      <c r="I11" s="959"/>
      <c r="J11" s="959"/>
      <c r="K11" s="959"/>
      <c r="L11" s="959"/>
      <c r="M11" s="959">
        <v>13586.28</v>
      </c>
      <c r="N11" s="855"/>
      <c r="O11" s="862"/>
    </row>
    <row r="12" spans="2:15" ht="12">
      <c r="B12" s="954">
        <v>3</v>
      </c>
      <c r="C12" s="962" t="s">
        <v>933</v>
      </c>
      <c r="D12" s="855"/>
      <c r="E12" s="959">
        <v>32656.7</v>
      </c>
      <c r="F12" s="959"/>
      <c r="G12" s="959">
        <v>5868.94</v>
      </c>
      <c r="H12" s="959">
        <v>7266.24</v>
      </c>
      <c r="I12" s="959"/>
      <c r="J12" s="959"/>
      <c r="K12" s="959"/>
      <c r="L12" s="959"/>
      <c r="M12" s="959">
        <v>13788.6</v>
      </c>
      <c r="N12" s="855"/>
      <c r="O12" s="862"/>
    </row>
    <row r="13" spans="2:15" ht="12">
      <c r="B13" s="954">
        <v>4</v>
      </c>
      <c r="C13" s="962" t="s">
        <v>933</v>
      </c>
      <c r="D13" s="855"/>
      <c r="E13" s="959">
        <v>31386.26</v>
      </c>
      <c r="F13" s="959"/>
      <c r="G13" s="959">
        <v>13176.38</v>
      </c>
      <c r="H13" s="959">
        <v>10038.72</v>
      </c>
      <c r="I13" s="959"/>
      <c r="J13" s="959"/>
      <c r="K13" s="959"/>
      <c r="L13" s="959"/>
      <c r="M13" s="959">
        <v>13788.6</v>
      </c>
      <c r="N13" s="855"/>
      <c r="O13" s="862"/>
    </row>
    <row r="14" spans="2:15" ht="12">
      <c r="B14" s="954">
        <v>5</v>
      </c>
      <c r="C14" s="962" t="s">
        <v>933</v>
      </c>
      <c r="D14" s="855"/>
      <c r="E14" s="959">
        <v>33937.34</v>
      </c>
      <c r="F14" s="959"/>
      <c r="G14" s="959">
        <v>7825.3</v>
      </c>
      <c r="H14" s="959">
        <v>7824.96</v>
      </c>
      <c r="I14" s="959"/>
      <c r="J14" s="959"/>
      <c r="K14" s="959"/>
      <c r="L14" s="959"/>
      <c r="M14" s="959">
        <v>13788.6</v>
      </c>
      <c r="N14" s="855"/>
      <c r="O14" s="862"/>
    </row>
    <row r="15" spans="2:15" ht="12">
      <c r="B15" s="954">
        <v>6</v>
      </c>
      <c r="C15" s="962" t="s">
        <v>933</v>
      </c>
      <c r="D15" s="855"/>
      <c r="E15" s="959">
        <v>32681.68</v>
      </c>
      <c r="F15" s="959"/>
      <c r="G15" s="959">
        <v>11598.15</v>
      </c>
      <c r="H15" s="959">
        <v>8896.28</v>
      </c>
      <c r="I15" s="959"/>
      <c r="J15" s="959"/>
      <c r="K15" s="959"/>
      <c r="L15" s="959"/>
      <c r="M15" s="959">
        <v>13788.6</v>
      </c>
      <c r="N15" s="855"/>
      <c r="O15" s="862"/>
    </row>
    <row r="16" spans="2:15" ht="12">
      <c r="B16" s="954">
        <v>7</v>
      </c>
      <c r="C16" s="962" t="s">
        <v>933</v>
      </c>
      <c r="D16" s="855"/>
      <c r="E16" s="959">
        <v>32956.7</v>
      </c>
      <c r="F16" s="959"/>
      <c r="G16" s="959">
        <v>5868.94</v>
      </c>
      <c r="H16" s="959">
        <v>7266.24</v>
      </c>
      <c r="I16" s="959"/>
      <c r="J16" s="959"/>
      <c r="K16" s="959"/>
      <c r="L16" s="959"/>
      <c r="M16" s="959">
        <v>13788.6</v>
      </c>
      <c r="N16" s="855"/>
      <c r="O16" s="862"/>
    </row>
    <row r="17" spans="2:15" ht="12">
      <c r="B17" s="954">
        <v>8</v>
      </c>
      <c r="C17" s="962" t="s">
        <v>933</v>
      </c>
      <c r="D17" s="855"/>
      <c r="E17" s="959">
        <v>33736.7</v>
      </c>
      <c r="F17" s="959"/>
      <c r="G17" s="959">
        <v>5868.94</v>
      </c>
      <c r="H17" s="959">
        <v>7266.24</v>
      </c>
      <c r="I17" s="959"/>
      <c r="J17" s="959"/>
      <c r="K17" s="959"/>
      <c r="L17" s="959"/>
      <c r="M17" s="959">
        <v>13788.6</v>
      </c>
      <c r="N17" s="855"/>
      <c r="O17" s="862"/>
    </row>
    <row r="18" spans="2:15" ht="12">
      <c r="B18" s="954">
        <v>9</v>
      </c>
      <c r="C18" s="962" t="s">
        <v>933</v>
      </c>
      <c r="D18" s="855"/>
      <c r="E18" s="959">
        <v>31398.38</v>
      </c>
      <c r="F18" s="959"/>
      <c r="G18" s="959">
        <v>11737.88</v>
      </c>
      <c r="H18" s="959">
        <v>8942.88</v>
      </c>
      <c r="I18" s="959"/>
      <c r="J18" s="959"/>
      <c r="K18" s="959"/>
      <c r="L18" s="959"/>
      <c r="M18" s="959">
        <v>13788.6</v>
      </c>
      <c r="N18" s="855"/>
      <c r="O18" s="862"/>
    </row>
    <row r="19" spans="2:15" ht="12.75">
      <c r="B19" s="954">
        <v>10</v>
      </c>
      <c r="C19" s="962" t="s">
        <v>890</v>
      </c>
      <c r="D19" s="855"/>
      <c r="E19" s="956">
        <v>53236.24</v>
      </c>
      <c r="F19" s="959"/>
      <c r="G19" s="956">
        <v>8872.8</v>
      </c>
      <c r="H19" s="957">
        <v>0</v>
      </c>
      <c r="I19" s="959"/>
      <c r="J19" s="959"/>
      <c r="K19" s="959"/>
      <c r="L19" s="959"/>
      <c r="M19" s="960">
        <v>11297.52</v>
      </c>
      <c r="N19" s="855"/>
      <c r="O19" s="862"/>
    </row>
    <row r="20" spans="2:17" ht="12">
      <c r="B20" s="861"/>
      <c r="C20" s="855"/>
      <c r="D20" s="855"/>
      <c r="E20" s="961"/>
      <c r="F20" s="855"/>
      <c r="G20" s="961"/>
      <c r="H20" s="961"/>
      <c r="I20" s="855"/>
      <c r="J20" s="855"/>
      <c r="K20" s="855"/>
      <c r="L20" s="855"/>
      <c r="M20" s="961"/>
      <c r="N20" s="855"/>
      <c r="O20" s="862"/>
      <c r="Q20" s="963"/>
    </row>
    <row r="21" spans="2:15" ht="12">
      <c r="B21" s="861"/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62"/>
    </row>
    <row r="22" spans="2:15" ht="12">
      <c r="B22" s="861"/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62"/>
    </row>
    <row r="23" spans="2:15" ht="12">
      <c r="B23" s="861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62"/>
    </row>
    <row r="24" spans="2:15" ht="12">
      <c r="B24" s="861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62"/>
    </row>
    <row r="25" spans="2:15" ht="12">
      <c r="B25" s="861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62"/>
    </row>
    <row r="26" spans="2:15" ht="12">
      <c r="B26" s="861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62"/>
    </row>
    <row r="27" spans="2:15" ht="12">
      <c r="B27" s="861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62"/>
    </row>
    <row r="28" spans="2:15" ht="12">
      <c r="B28" s="861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62"/>
    </row>
    <row r="29" spans="2:15" ht="12">
      <c r="B29" s="861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62"/>
    </row>
    <row r="30" spans="2:15" ht="12">
      <c r="B30" s="861"/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62"/>
    </row>
    <row r="31" spans="2:15" ht="12">
      <c r="B31" s="861"/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62"/>
    </row>
    <row r="32" spans="2:15" ht="12">
      <c r="B32" s="861"/>
      <c r="C32" s="855"/>
      <c r="D32" s="855"/>
      <c r="E32" s="855"/>
      <c r="F32" s="855"/>
      <c r="G32" s="855"/>
      <c r="H32" s="855"/>
      <c r="I32" s="855"/>
      <c r="J32" s="855"/>
      <c r="K32" s="855"/>
      <c r="L32" s="855"/>
      <c r="M32" s="855"/>
      <c r="N32" s="855"/>
      <c r="O32" s="862"/>
    </row>
    <row r="33" spans="2:15" ht="12">
      <c r="B33" s="861"/>
      <c r="C33" s="855"/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5"/>
      <c r="O33" s="862"/>
    </row>
    <row r="34" spans="2:15" ht="12">
      <c r="B34" s="861"/>
      <c r="C34" s="855"/>
      <c r="D34" s="855"/>
      <c r="E34" s="855"/>
      <c r="F34" s="855"/>
      <c r="G34" s="855"/>
      <c r="H34" s="855"/>
      <c r="I34" s="855"/>
      <c r="J34" s="855"/>
      <c r="K34" s="855"/>
      <c r="L34" s="855"/>
      <c r="M34" s="855"/>
      <c r="N34" s="855"/>
      <c r="O34" s="862"/>
    </row>
    <row r="35" spans="2:15" ht="12">
      <c r="B35" s="861"/>
      <c r="C35" s="855"/>
      <c r="D35" s="855"/>
      <c r="E35" s="855"/>
      <c r="F35" s="855"/>
      <c r="G35" s="855"/>
      <c r="H35" s="855"/>
      <c r="I35" s="855"/>
      <c r="J35" s="855"/>
      <c r="K35" s="855"/>
      <c r="L35" s="855"/>
      <c r="M35" s="855"/>
      <c r="N35" s="855"/>
      <c r="O35" s="862"/>
    </row>
    <row r="36" spans="2:15" ht="12">
      <c r="B36" s="861"/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  <c r="N36" s="855"/>
      <c r="O36" s="862"/>
    </row>
    <row r="37" spans="2:15" ht="12">
      <c r="B37" s="861"/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62"/>
    </row>
    <row r="38" spans="2:15" ht="12">
      <c r="B38" s="861"/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62"/>
    </row>
    <row r="39" spans="2:15" ht="12">
      <c r="B39" s="861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62"/>
    </row>
    <row r="40" spans="2:15" ht="12">
      <c r="B40" s="861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62"/>
    </row>
    <row r="41" spans="2:15" ht="12">
      <c r="B41" s="861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62"/>
    </row>
    <row r="42" spans="2:15" ht="12">
      <c r="B42" s="861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62"/>
    </row>
    <row r="43" spans="2:15" ht="12">
      <c r="B43" s="861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62"/>
    </row>
    <row r="44" spans="2:15" ht="12">
      <c r="B44" s="861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62"/>
    </row>
    <row r="45" spans="2:15" ht="12">
      <c r="B45" s="861"/>
      <c r="C45" s="855"/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62"/>
    </row>
    <row r="46" spans="2:15" ht="12">
      <c r="B46" s="861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62"/>
    </row>
    <row r="47" spans="2:15" ht="12">
      <c r="B47" s="861"/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62"/>
    </row>
    <row r="48" spans="2:15" ht="12">
      <c r="B48" s="861"/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62"/>
    </row>
    <row r="49" spans="2:15" ht="12">
      <c r="B49" s="861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62"/>
    </row>
    <row r="50" spans="2:15" ht="12">
      <c r="B50" s="861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62"/>
    </row>
    <row r="51" spans="2:15" ht="12">
      <c r="B51" s="861"/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62"/>
    </row>
    <row r="52" spans="2:15" ht="12">
      <c r="B52" s="861"/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62"/>
    </row>
    <row r="53" spans="2:15" ht="12">
      <c r="B53" s="861"/>
      <c r="C53" s="855"/>
      <c r="D53" s="855"/>
      <c r="E53" s="855"/>
      <c r="F53" s="855"/>
      <c r="G53" s="855"/>
      <c r="H53" s="855"/>
      <c r="I53" s="855"/>
      <c r="J53" s="855"/>
      <c r="K53" s="855"/>
      <c r="L53" s="855"/>
      <c r="M53" s="855"/>
      <c r="N53" s="855"/>
      <c r="O53" s="862"/>
    </row>
    <row r="54" spans="2:15" ht="12">
      <c r="B54" s="861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  <c r="O54" s="862"/>
    </row>
    <row r="55" spans="2:15" ht="12">
      <c r="B55" s="861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62"/>
    </row>
    <row r="56" spans="2:15" ht="12">
      <c r="B56" s="861"/>
      <c r="C56" s="855"/>
      <c r="D56" s="855"/>
      <c r="E56" s="855"/>
      <c r="F56" s="855"/>
      <c r="G56" s="855"/>
      <c r="H56" s="855"/>
      <c r="I56" s="855"/>
      <c r="J56" s="855"/>
      <c r="K56" s="855"/>
      <c r="L56" s="855"/>
      <c r="M56" s="855"/>
      <c r="N56" s="855"/>
      <c r="O56" s="862"/>
    </row>
    <row r="57" spans="2:15" ht="12">
      <c r="B57" s="861"/>
      <c r="C57" s="855"/>
      <c r="D57" s="855"/>
      <c r="E57" s="855"/>
      <c r="F57" s="855"/>
      <c r="G57" s="855"/>
      <c r="H57" s="855"/>
      <c r="I57" s="855"/>
      <c r="J57" s="855"/>
      <c r="K57" s="855"/>
      <c r="L57" s="855"/>
      <c r="M57" s="855"/>
      <c r="N57" s="855"/>
      <c r="O57" s="862"/>
    </row>
    <row r="58" spans="2:15" ht="12">
      <c r="B58" s="861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62"/>
    </row>
    <row r="59" spans="2:15" ht="12">
      <c r="B59" s="861"/>
      <c r="C59" s="855"/>
      <c r="D59" s="855"/>
      <c r="E59" s="855"/>
      <c r="F59" s="855"/>
      <c r="G59" s="855"/>
      <c r="H59" s="855"/>
      <c r="I59" s="855"/>
      <c r="J59" s="855"/>
      <c r="K59" s="855"/>
      <c r="L59" s="855"/>
      <c r="M59" s="855"/>
      <c r="N59" s="855"/>
      <c r="O59" s="862"/>
    </row>
    <row r="60" spans="2:15" ht="12">
      <c r="B60" s="861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62"/>
    </row>
    <row r="61" spans="2:15" ht="12">
      <c r="B61" s="861"/>
      <c r="C61" s="855"/>
      <c r="D61" s="855"/>
      <c r="E61" s="855"/>
      <c r="F61" s="855"/>
      <c r="G61" s="855"/>
      <c r="H61" s="855"/>
      <c r="I61" s="855"/>
      <c r="J61" s="855"/>
      <c r="K61" s="855"/>
      <c r="L61" s="855"/>
      <c r="M61" s="855"/>
      <c r="N61" s="855"/>
      <c r="O61" s="862"/>
    </row>
    <row r="62" spans="2:15" ht="12">
      <c r="B62" s="861"/>
      <c r="C62" s="855"/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62"/>
    </row>
    <row r="63" spans="2:15" ht="12">
      <c r="B63" s="861"/>
      <c r="C63" s="855"/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62"/>
    </row>
    <row r="64" spans="2:15" ht="12">
      <c r="B64" s="861"/>
      <c r="C64" s="855"/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62"/>
    </row>
    <row r="65" spans="2:15" ht="12">
      <c r="B65" s="861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62"/>
    </row>
    <row r="66" spans="2:15" ht="12">
      <c r="B66" s="861"/>
      <c r="C66" s="855"/>
      <c r="D66" s="855"/>
      <c r="E66" s="855"/>
      <c r="F66" s="855"/>
      <c r="G66" s="855"/>
      <c r="H66" s="855"/>
      <c r="I66" s="855"/>
      <c r="J66" s="855"/>
      <c r="K66" s="855"/>
      <c r="L66" s="855"/>
      <c r="M66" s="855"/>
      <c r="N66" s="855"/>
      <c r="O66" s="862"/>
    </row>
    <row r="67" spans="2:15" ht="12">
      <c r="B67" s="861"/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62"/>
    </row>
    <row r="68" spans="2:15" ht="12">
      <c r="B68" s="861"/>
      <c r="C68" s="855"/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62"/>
    </row>
    <row r="69" spans="2:15" ht="12">
      <c r="B69" s="861"/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62"/>
    </row>
    <row r="70" spans="2:15" ht="12.75" thickBot="1">
      <c r="B70" s="863"/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5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69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2.7109375" style="856" customWidth="1"/>
    <col min="2" max="2" width="9.00390625" style="856" customWidth="1"/>
    <col min="3" max="3" width="21.28125" style="856" bestFit="1" customWidth="1"/>
    <col min="4" max="4" width="8.140625" style="856" customWidth="1"/>
    <col min="5" max="5" width="10.7109375" style="856" customWidth="1"/>
    <col min="6" max="6" width="12.28125" style="856" customWidth="1"/>
    <col min="7" max="7" width="11.57421875" style="856" customWidth="1"/>
    <col min="8" max="8" width="15.28125" style="856" customWidth="1"/>
    <col min="9" max="9" width="13.57421875" style="856" customWidth="1"/>
    <col min="10" max="12" width="15.7109375" style="856" customWidth="1"/>
    <col min="13" max="13" width="9.8515625" style="856" bestFit="1" customWidth="1"/>
    <col min="14" max="14" width="6.28125" style="856" customWidth="1"/>
    <col min="15" max="15" width="15.8515625" style="856" customWidth="1"/>
    <col min="16" max="16" width="11.57421875" style="856" customWidth="1"/>
    <col min="17" max="17" width="18.7109375" style="856" customWidth="1"/>
    <col min="18" max="16384" width="11.57421875" style="856" customWidth="1"/>
  </cols>
  <sheetData>
    <row r="1" ht="25.5" customHeight="1"/>
    <row r="2" spans="2:17" s="843" customFormat="1" ht="11.25">
      <c r="B2" s="1399" t="s">
        <v>816</v>
      </c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842"/>
      <c r="P2" s="842"/>
      <c r="Q2" s="842"/>
    </row>
    <row r="3" s="844" customFormat="1" ht="11.25"/>
    <row r="4" spans="2:3" s="844" customFormat="1" ht="11.25">
      <c r="B4" s="845" t="s">
        <v>817</v>
      </c>
      <c r="C4" s="844" t="s">
        <v>981</v>
      </c>
    </row>
    <row r="5" s="844" customFormat="1" ht="11.25">
      <c r="B5" s="845"/>
    </row>
    <row r="6" spans="2:17" s="844" customFormat="1" ht="11.25">
      <c r="B6" s="842" t="s">
        <v>829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6"/>
      <c r="P6" s="846"/>
      <c r="Q6" s="846"/>
    </row>
    <row r="7" spans="2:17" s="844" customFormat="1" ht="12" thickBot="1"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</row>
    <row r="8" spans="2:15" s="845" customFormat="1" ht="27" customHeight="1" thickBot="1">
      <c r="B8" s="848"/>
      <c r="C8" s="848"/>
      <c r="D8" s="848"/>
      <c r="E8" s="848"/>
      <c r="F8" s="1400" t="s">
        <v>819</v>
      </c>
      <c r="G8" s="1401"/>
      <c r="H8" s="848"/>
      <c r="I8" s="848"/>
      <c r="J8" s="1402" t="s">
        <v>820</v>
      </c>
      <c r="K8" s="1403"/>
      <c r="L8" s="1404"/>
      <c r="M8" s="848"/>
      <c r="N8" s="848"/>
      <c r="O8" s="848"/>
    </row>
    <row r="9" spans="2:15" s="853" customFormat="1" ht="27" customHeight="1">
      <c r="B9" s="964" t="s">
        <v>830</v>
      </c>
      <c r="C9" s="850" t="s">
        <v>822</v>
      </c>
      <c r="D9" s="851" t="s">
        <v>823</v>
      </c>
      <c r="E9" s="851" t="s">
        <v>824</v>
      </c>
      <c r="F9" s="857">
        <v>2016</v>
      </c>
      <c r="G9" s="858">
        <v>2017</v>
      </c>
      <c r="H9" s="851" t="s">
        <v>825</v>
      </c>
      <c r="I9" s="851" t="s">
        <v>826</v>
      </c>
      <c r="J9" s="851"/>
      <c r="K9" s="851"/>
      <c r="L9" s="851"/>
      <c r="M9" s="851" t="s">
        <v>827</v>
      </c>
      <c r="N9" s="851" t="s">
        <v>145</v>
      </c>
      <c r="O9" s="852" t="s">
        <v>828</v>
      </c>
    </row>
    <row r="10" spans="2:15" s="847" customFormat="1" ht="12">
      <c r="B10" s="965">
        <v>1</v>
      </c>
      <c r="C10" s="855" t="s">
        <v>936</v>
      </c>
      <c r="D10" s="854"/>
      <c r="E10" s="958">
        <v>14574.46</v>
      </c>
      <c r="F10" s="955"/>
      <c r="G10" s="958">
        <v>5079.76</v>
      </c>
      <c r="H10" s="958">
        <v>5079.36</v>
      </c>
      <c r="I10" s="955"/>
      <c r="J10" s="958"/>
      <c r="K10" s="958"/>
      <c r="L10" s="958"/>
      <c r="M10" s="958">
        <v>7803.48</v>
      </c>
      <c r="N10" s="854"/>
      <c r="O10" s="860"/>
    </row>
    <row r="11" spans="2:15" ht="12">
      <c r="B11" s="954">
        <v>2</v>
      </c>
      <c r="C11" s="855" t="s">
        <v>938</v>
      </c>
      <c r="D11" s="855"/>
      <c r="E11" s="959">
        <f>23156.4</f>
        <v>23156.4</v>
      </c>
      <c r="F11" s="955"/>
      <c r="G11" s="959">
        <v>5668.34</v>
      </c>
      <c r="H11" s="959">
        <v>6432</v>
      </c>
      <c r="I11" s="955"/>
      <c r="J11" s="959"/>
      <c r="K11" s="959"/>
      <c r="L11" s="959"/>
      <c r="M11" s="959">
        <v>11110.76</v>
      </c>
      <c r="N11" s="855"/>
      <c r="O11" s="862"/>
    </row>
    <row r="12" spans="2:15" ht="12">
      <c r="B12" s="954">
        <v>3</v>
      </c>
      <c r="C12" s="855" t="s">
        <v>938</v>
      </c>
      <c r="D12" s="855"/>
      <c r="E12" s="959">
        <f>22995.52</f>
        <v>22995.52</v>
      </c>
      <c r="F12" s="955"/>
      <c r="G12" s="959">
        <v>6753.74</v>
      </c>
      <c r="H12" s="959">
        <v>6753.6</v>
      </c>
      <c r="I12" s="955"/>
      <c r="J12" s="959"/>
      <c r="K12" s="959"/>
      <c r="L12" s="959"/>
      <c r="M12" s="959">
        <v>11516.52</v>
      </c>
      <c r="N12" s="855"/>
      <c r="O12" s="862"/>
    </row>
    <row r="13" spans="2:15" ht="12">
      <c r="B13" s="954">
        <v>4</v>
      </c>
      <c r="C13" s="855" t="s">
        <v>936</v>
      </c>
      <c r="D13" s="855"/>
      <c r="E13" s="959">
        <f>14350.3</f>
        <v>14350.3</v>
      </c>
      <c r="F13" s="955"/>
      <c r="G13" s="959">
        <v>6349.7</v>
      </c>
      <c r="H13" s="959">
        <v>5442.24</v>
      </c>
      <c r="I13" s="955"/>
      <c r="J13" s="959"/>
      <c r="K13" s="959"/>
      <c r="L13" s="959"/>
      <c r="M13" s="959">
        <f>8247.96</f>
        <v>8247.96</v>
      </c>
      <c r="N13" s="855"/>
      <c r="O13" s="862"/>
    </row>
    <row r="14" spans="2:15" ht="12">
      <c r="B14" s="954">
        <v>5</v>
      </c>
      <c r="C14" s="855" t="s">
        <v>936</v>
      </c>
      <c r="D14" s="855"/>
      <c r="E14" s="959">
        <f>14350.3</f>
        <v>14350.3</v>
      </c>
      <c r="F14" s="955"/>
      <c r="G14" s="959">
        <v>6349.7</v>
      </c>
      <c r="H14" s="959">
        <v>5442.24</v>
      </c>
      <c r="I14" s="955"/>
      <c r="J14" s="959"/>
      <c r="K14" s="959"/>
      <c r="L14" s="959"/>
      <c r="M14" s="959">
        <f>8247.96</f>
        <v>8247.96</v>
      </c>
      <c r="N14" s="855"/>
      <c r="O14" s="862"/>
    </row>
    <row r="15" spans="2:15" ht="12">
      <c r="B15" s="954">
        <v>6</v>
      </c>
      <c r="C15" s="855" t="s">
        <v>939</v>
      </c>
      <c r="D15" s="855"/>
      <c r="E15" s="959">
        <v>18262.88</v>
      </c>
      <c r="F15" s="955"/>
      <c r="G15" s="959">
        <v>5076.28</v>
      </c>
      <c r="H15" s="959">
        <v>5760</v>
      </c>
      <c r="I15" s="955"/>
      <c r="J15" s="959"/>
      <c r="K15" s="959"/>
      <c r="L15" s="959"/>
      <c r="M15" s="959">
        <v>9169.52</v>
      </c>
      <c r="N15" s="855"/>
      <c r="O15" s="862"/>
    </row>
    <row r="16" spans="2:15" ht="12">
      <c r="B16" s="954">
        <v>7</v>
      </c>
      <c r="C16" s="855" t="s">
        <v>939</v>
      </c>
      <c r="D16" s="855"/>
      <c r="E16" s="959">
        <v>18108.2</v>
      </c>
      <c r="F16" s="955"/>
      <c r="G16" s="959">
        <v>6048.28</v>
      </c>
      <c r="H16" s="959">
        <v>6048</v>
      </c>
      <c r="I16" s="955"/>
      <c r="J16" s="959"/>
      <c r="K16" s="959"/>
      <c r="L16" s="959"/>
      <c r="M16" s="959">
        <v>9529.56</v>
      </c>
      <c r="N16" s="855"/>
      <c r="O16" s="862"/>
    </row>
    <row r="17" spans="2:15" ht="12">
      <c r="B17" s="954">
        <v>8</v>
      </c>
      <c r="C17" s="855" t="s">
        <v>939</v>
      </c>
      <c r="D17" s="855"/>
      <c r="E17" s="959">
        <v>17507</v>
      </c>
      <c r="F17" s="955"/>
      <c r="G17" s="959">
        <v>9068.36</v>
      </c>
      <c r="H17" s="959">
        <v>6911.04</v>
      </c>
      <c r="I17" s="955"/>
      <c r="J17" s="959"/>
      <c r="K17" s="959"/>
      <c r="L17" s="959"/>
      <c r="M17" s="959">
        <v>10565.04</v>
      </c>
      <c r="N17" s="855"/>
      <c r="O17" s="862"/>
    </row>
    <row r="18" spans="2:15" ht="12">
      <c r="B18" s="954">
        <v>9</v>
      </c>
      <c r="C18" s="855" t="s">
        <v>939</v>
      </c>
      <c r="D18" s="855"/>
      <c r="E18" s="959">
        <v>18126.2</v>
      </c>
      <c r="F18" s="955"/>
      <c r="G18" s="959">
        <v>5940.28</v>
      </c>
      <c r="H18" s="959">
        <v>6012</v>
      </c>
      <c r="I18" s="955"/>
      <c r="J18" s="959"/>
      <c r="K18" s="959"/>
      <c r="L18" s="959"/>
      <c r="M18" s="959">
        <v>9484.13</v>
      </c>
      <c r="N18" s="855"/>
      <c r="O18" s="862"/>
    </row>
    <row r="19" spans="2:15" ht="12">
      <c r="B19" s="954">
        <v>10</v>
      </c>
      <c r="C19" s="855" t="s">
        <v>939</v>
      </c>
      <c r="D19" s="855"/>
      <c r="E19" s="959">
        <v>17579.22</v>
      </c>
      <c r="F19" s="955"/>
      <c r="G19" s="959">
        <v>6669.95</v>
      </c>
      <c r="H19" s="959">
        <v>6264</v>
      </c>
      <c r="I19" s="955"/>
      <c r="J19" s="959"/>
      <c r="K19" s="959"/>
      <c r="L19" s="959"/>
      <c r="M19" s="959">
        <v>9775.38</v>
      </c>
      <c r="N19" s="855"/>
      <c r="O19" s="862"/>
    </row>
    <row r="20" spans="2:15" ht="12">
      <c r="B20" s="954">
        <v>11</v>
      </c>
      <c r="C20" s="855" t="s">
        <v>939</v>
      </c>
      <c r="D20" s="855"/>
      <c r="E20" s="959">
        <v>18108.2</v>
      </c>
      <c r="F20" s="955"/>
      <c r="G20" s="959">
        <v>6048.28</v>
      </c>
      <c r="H20" s="959">
        <v>6048</v>
      </c>
      <c r="I20" s="955"/>
      <c r="J20" s="959"/>
      <c r="K20" s="959"/>
      <c r="L20" s="959"/>
      <c r="M20" s="959">
        <v>9529.56</v>
      </c>
      <c r="N20" s="855"/>
      <c r="O20" s="862"/>
    </row>
    <row r="21" spans="2:15" ht="12">
      <c r="B21" s="954">
        <v>12</v>
      </c>
      <c r="C21" s="855" t="s">
        <v>939</v>
      </c>
      <c r="D21" s="855"/>
      <c r="E21" s="959">
        <v>18108.2</v>
      </c>
      <c r="F21" s="955"/>
      <c r="G21" s="959">
        <v>6048.28</v>
      </c>
      <c r="H21" s="959">
        <v>6048</v>
      </c>
      <c r="I21" s="955"/>
      <c r="J21" s="959"/>
      <c r="K21" s="959"/>
      <c r="L21" s="959"/>
      <c r="M21" s="959">
        <v>9529.56</v>
      </c>
      <c r="N21" s="855"/>
      <c r="O21" s="862"/>
    </row>
    <row r="22" spans="2:15" ht="12">
      <c r="B22" s="954">
        <v>13</v>
      </c>
      <c r="C22" s="855" t="s">
        <v>939</v>
      </c>
      <c r="D22" s="855"/>
      <c r="E22" s="959">
        <v>18216.2</v>
      </c>
      <c r="F22" s="955"/>
      <c r="G22" s="959">
        <v>5292.28</v>
      </c>
      <c r="H22" s="959">
        <v>5832</v>
      </c>
      <c r="I22" s="955"/>
      <c r="J22" s="959"/>
      <c r="K22" s="959"/>
      <c r="L22" s="959"/>
      <c r="M22" s="959">
        <v>9256.98</v>
      </c>
      <c r="N22" s="855"/>
      <c r="O22" s="862"/>
    </row>
    <row r="23" spans="2:15" ht="12">
      <c r="B23" s="954">
        <v>14</v>
      </c>
      <c r="C23" s="855" t="s">
        <v>939</v>
      </c>
      <c r="D23" s="855"/>
      <c r="E23" s="959">
        <v>17501.48</v>
      </c>
      <c r="F23" s="955"/>
      <c r="G23" s="959">
        <v>9068.36</v>
      </c>
      <c r="H23" s="959">
        <v>6911.04</v>
      </c>
      <c r="I23" s="955"/>
      <c r="J23" s="959"/>
      <c r="K23" s="959"/>
      <c r="L23" s="959"/>
      <c r="M23" s="959">
        <v>10563.24</v>
      </c>
      <c r="N23" s="855"/>
      <c r="O23" s="862"/>
    </row>
    <row r="24" spans="2:15" ht="12">
      <c r="B24" s="954">
        <v>15</v>
      </c>
      <c r="C24" s="855" t="s">
        <v>939</v>
      </c>
      <c r="D24" s="855"/>
      <c r="E24" s="959">
        <v>18102.68</v>
      </c>
      <c r="F24" s="955"/>
      <c r="G24" s="959">
        <v>6048.28</v>
      </c>
      <c r="H24" s="959">
        <v>6048</v>
      </c>
      <c r="I24" s="955"/>
      <c r="J24" s="959"/>
      <c r="K24" s="959"/>
      <c r="L24" s="959"/>
      <c r="M24" s="959">
        <v>9527.76</v>
      </c>
      <c r="N24" s="855"/>
      <c r="O24" s="862"/>
    </row>
    <row r="25" spans="2:15" ht="12">
      <c r="B25" s="954">
        <v>16</v>
      </c>
      <c r="C25" s="855" t="s">
        <v>939</v>
      </c>
      <c r="D25" s="855"/>
      <c r="E25" s="959">
        <v>18030.68</v>
      </c>
      <c r="F25" s="955"/>
      <c r="G25" s="959">
        <v>6588.33</v>
      </c>
      <c r="H25" s="959">
        <v>6192</v>
      </c>
      <c r="I25" s="955"/>
      <c r="J25" s="959"/>
      <c r="K25" s="959"/>
      <c r="L25" s="959"/>
      <c r="M25" s="959">
        <v>9709.48</v>
      </c>
      <c r="N25" s="855"/>
      <c r="O25" s="862"/>
    </row>
    <row r="26" spans="2:15" ht="12">
      <c r="B26" s="954">
        <v>17</v>
      </c>
      <c r="C26" s="855" t="s">
        <v>939</v>
      </c>
      <c r="D26" s="855"/>
      <c r="E26" s="959">
        <v>18409.04</v>
      </c>
      <c r="F26" s="955"/>
      <c r="G26" s="959">
        <v>4536.28</v>
      </c>
      <c r="H26" s="959">
        <v>5616</v>
      </c>
      <c r="I26" s="955"/>
      <c r="J26" s="959"/>
      <c r="K26" s="959"/>
      <c r="L26" s="959"/>
      <c r="M26" s="959">
        <v>9011.04</v>
      </c>
      <c r="N26" s="855"/>
      <c r="O26" s="862"/>
    </row>
    <row r="27" spans="2:15" ht="12">
      <c r="B27" s="954">
        <v>18</v>
      </c>
      <c r="C27" s="855" t="s">
        <v>939</v>
      </c>
      <c r="D27" s="855"/>
      <c r="E27" s="959">
        <v>18517.04</v>
      </c>
      <c r="F27" s="955"/>
      <c r="G27" s="959">
        <v>3780.21</v>
      </c>
      <c r="H27" s="959">
        <v>5400</v>
      </c>
      <c r="I27" s="955"/>
      <c r="J27" s="959"/>
      <c r="K27" s="959"/>
      <c r="L27" s="959"/>
      <c r="M27" s="959">
        <v>8738.4</v>
      </c>
      <c r="N27" s="855"/>
      <c r="O27" s="862"/>
    </row>
    <row r="28" spans="2:15" ht="12">
      <c r="B28" s="954">
        <v>19</v>
      </c>
      <c r="C28" s="855" t="s">
        <v>939</v>
      </c>
      <c r="D28" s="855"/>
      <c r="E28" s="959">
        <v>18409.04</v>
      </c>
      <c r="F28" s="955"/>
      <c r="G28" s="959">
        <v>4536.28</v>
      </c>
      <c r="H28" s="959">
        <v>5616</v>
      </c>
      <c r="I28" s="955"/>
      <c r="J28" s="959"/>
      <c r="K28" s="959"/>
      <c r="L28" s="959"/>
      <c r="M28" s="959">
        <v>9011.04</v>
      </c>
      <c r="N28" s="855"/>
      <c r="O28" s="862"/>
    </row>
    <row r="29" spans="2:15" ht="12">
      <c r="B29" s="954">
        <v>20</v>
      </c>
      <c r="C29" s="855" t="s">
        <v>939</v>
      </c>
      <c r="D29" s="855"/>
      <c r="E29" s="959">
        <v>18064.16</v>
      </c>
      <c r="F29" s="955"/>
      <c r="G29" s="959">
        <v>6048.28</v>
      </c>
      <c r="H29" s="959">
        <v>6048</v>
      </c>
      <c r="I29" s="955"/>
      <c r="J29" s="959"/>
      <c r="K29" s="959"/>
      <c r="L29" s="959"/>
      <c r="M29" s="959">
        <v>9515.64</v>
      </c>
      <c r="N29" s="855"/>
      <c r="O29" s="862"/>
    </row>
    <row r="30" spans="2:15" ht="12">
      <c r="B30" s="954">
        <v>21</v>
      </c>
      <c r="C30" s="855" t="s">
        <v>939</v>
      </c>
      <c r="D30" s="855"/>
      <c r="E30" s="959">
        <v>17977.04</v>
      </c>
      <c r="F30" s="955"/>
      <c r="G30" s="959">
        <v>7560.42</v>
      </c>
      <c r="H30" s="959">
        <v>6480</v>
      </c>
      <c r="I30" s="955"/>
      <c r="J30" s="959"/>
      <c r="K30" s="959"/>
      <c r="L30" s="959"/>
      <c r="M30" s="959">
        <v>10101.48</v>
      </c>
      <c r="N30" s="855"/>
      <c r="O30" s="862"/>
    </row>
    <row r="31" spans="2:15" ht="12">
      <c r="B31" s="954">
        <v>22</v>
      </c>
      <c r="C31" s="855" t="s">
        <v>937</v>
      </c>
      <c r="D31" s="855"/>
      <c r="E31" s="959">
        <f>11809.7</f>
        <v>11809.7</v>
      </c>
      <c r="F31" s="955"/>
      <c r="G31" s="959">
        <v>6160.7</v>
      </c>
      <c r="H31" s="959">
        <v>4693.44</v>
      </c>
      <c r="I31" s="955"/>
      <c r="J31" s="959"/>
      <c r="K31" s="959"/>
      <c r="L31" s="959"/>
      <c r="M31" s="959">
        <f>7150.56</f>
        <v>7150.56</v>
      </c>
      <c r="N31" s="855"/>
      <c r="O31" s="862"/>
    </row>
    <row r="32" spans="2:15" ht="12">
      <c r="B32" s="954">
        <v>23</v>
      </c>
      <c r="C32" s="855" t="s">
        <v>940</v>
      </c>
      <c r="D32" s="855"/>
      <c r="E32" s="959">
        <v>21022.56</v>
      </c>
      <c r="F32" s="955"/>
      <c r="G32" s="959">
        <v>5065.34</v>
      </c>
      <c r="H32" s="959">
        <v>6271.2</v>
      </c>
      <c r="I32" s="955"/>
      <c r="J32" s="959"/>
      <c r="K32" s="959"/>
      <c r="L32" s="959"/>
      <c r="M32" s="959">
        <v>10209.24</v>
      </c>
      <c r="N32" s="855"/>
      <c r="O32" s="862"/>
    </row>
    <row r="33" spans="2:15" ht="12">
      <c r="B33" s="954">
        <v>24</v>
      </c>
      <c r="C33" s="855" t="s">
        <v>940</v>
      </c>
      <c r="D33" s="855"/>
      <c r="E33" s="959">
        <v>23278.8</v>
      </c>
      <c r="F33" s="955"/>
      <c r="G33" s="959">
        <v>8442.14</v>
      </c>
      <c r="H33" s="959">
        <v>7236</v>
      </c>
      <c r="I33" s="955"/>
      <c r="J33" s="959"/>
      <c r="K33" s="959"/>
      <c r="L33" s="959"/>
      <c r="M33" s="959">
        <v>12290.64</v>
      </c>
      <c r="N33" s="855"/>
      <c r="O33" s="862"/>
    </row>
    <row r="34" spans="2:15" ht="12">
      <c r="B34" s="954">
        <v>25</v>
      </c>
      <c r="C34" s="855" t="s">
        <v>940</v>
      </c>
      <c r="D34" s="855"/>
      <c r="E34" s="959">
        <v>21338.76</v>
      </c>
      <c r="F34" s="955"/>
      <c r="G34" s="959">
        <v>10130.54</v>
      </c>
      <c r="H34" s="959">
        <v>7718.4</v>
      </c>
      <c r="I34" s="955"/>
      <c r="J34" s="959"/>
      <c r="K34" s="959"/>
      <c r="L34" s="959"/>
      <c r="M34" s="959">
        <v>12363.72</v>
      </c>
      <c r="N34" s="855"/>
      <c r="O34" s="862"/>
    </row>
    <row r="35" spans="2:15" ht="12">
      <c r="B35" s="954">
        <v>26</v>
      </c>
      <c r="C35" s="855" t="s">
        <v>940</v>
      </c>
      <c r="D35" s="855"/>
      <c r="E35" s="959">
        <v>19248.24</v>
      </c>
      <c r="F35" s="955"/>
      <c r="G35" s="959">
        <v>10130.54</v>
      </c>
      <c r="H35" s="959">
        <v>7718.4</v>
      </c>
      <c r="I35" s="955"/>
      <c r="J35" s="959"/>
      <c r="K35" s="959"/>
      <c r="L35" s="959"/>
      <c r="M35" s="959">
        <v>11703.96</v>
      </c>
      <c r="N35" s="855"/>
      <c r="O35" s="862"/>
    </row>
    <row r="36" spans="2:15" ht="12">
      <c r="B36" s="954">
        <v>27</v>
      </c>
      <c r="C36" s="855" t="s">
        <v>940</v>
      </c>
      <c r="D36" s="855"/>
      <c r="E36" s="959">
        <v>20063.52</v>
      </c>
      <c r="F36" s="955"/>
      <c r="G36" s="959">
        <v>8442.14</v>
      </c>
      <c r="H36" s="959">
        <v>7236</v>
      </c>
      <c r="I36" s="955"/>
      <c r="J36" s="959"/>
      <c r="K36" s="959"/>
      <c r="L36" s="959"/>
      <c r="M36" s="959">
        <v>11276.4</v>
      </c>
      <c r="N36" s="855"/>
      <c r="O36" s="862"/>
    </row>
    <row r="37" spans="2:15" ht="12">
      <c r="B37" s="861"/>
      <c r="C37" s="855"/>
      <c r="D37" s="855"/>
      <c r="E37" s="959"/>
      <c r="F37" s="955"/>
      <c r="G37" s="959"/>
      <c r="H37" s="959"/>
      <c r="I37" s="955"/>
      <c r="J37" s="955"/>
      <c r="K37" s="955"/>
      <c r="L37" s="955"/>
      <c r="M37" s="959"/>
      <c r="N37" s="855"/>
      <c r="O37" s="862"/>
    </row>
    <row r="38" spans="2:15" ht="12">
      <c r="B38" s="861"/>
      <c r="C38" s="855"/>
      <c r="D38" s="855"/>
      <c r="E38" s="961"/>
      <c r="F38" s="855"/>
      <c r="G38" s="855"/>
      <c r="H38" s="855"/>
      <c r="I38" s="855"/>
      <c r="J38" s="855"/>
      <c r="K38" s="855"/>
      <c r="L38" s="855"/>
      <c r="M38" s="855"/>
      <c r="N38" s="855"/>
      <c r="O38" s="862"/>
    </row>
    <row r="39" spans="2:15" ht="12">
      <c r="B39" s="861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62"/>
    </row>
    <row r="40" spans="2:15" ht="12">
      <c r="B40" s="861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62"/>
    </row>
    <row r="41" spans="2:15" ht="12">
      <c r="B41" s="861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62"/>
    </row>
    <row r="42" spans="2:15" ht="12">
      <c r="B42" s="861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62"/>
    </row>
    <row r="43" spans="2:15" ht="12">
      <c r="B43" s="861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62"/>
    </row>
    <row r="44" spans="2:15" ht="12">
      <c r="B44" s="861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62"/>
    </row>
    <row r="45" spans="2:15" ht="12">
      <c r="B45" s="861"/>
      <c r="C45" s="855"/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62"/>
    </row>
    <row r="46" spans="2:15" ht="12">
      <c r="B46" s="861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62"/>
    </row>
    <row r="47" spans="2:15" ht="12">
      <c r="B47" s="861"/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62"/>
    </row>
    <row r="48" spans="2:15" ht="12">
      <c r="B48" s="861"/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62"/>
    </row>
    <row r="49" spans="2:15" ht="12">
      <c r="B49" s="861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62"/>
    </row>
    <row r="50" spans="2:15" ht="12">
      <c r="B50" s="861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62"/>
    </row>
    <row r="51" spans="2:15" ht="12">
      <c r="B51" s="861"/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62"/>
    </row>
    <row r="52" spans="2:15" ht="12">
      <c r="B52" s="861"/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62"/>
    </row>
    <row r="53" spans="2:15" ht="12">
      <c r="B53" s="861"/>
      <c r="C53" s="855"/>
      <c r="D53" s="855"/>
      <c r="E53" s="855"/>
      <c r="F53" s="855"/>
      <c r="G53" s="855"/>
      <c r="H53" s="855"/>
      <c r="I53" s="855"/>
      <c r="J53" s="855"/>
      <c r="K53" s="855"/>
      <c r="L53" s="855"/>
      <c r="M53" s="855"/>
      <c r="N53" s="855"/>
      <c r="O53" s="862"/>
    </row>
    <row r="54" spans="2:15" ht="12">
      <c r="B54" s="861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  <c r="O54" s="862"/>
    </row>
    <row r="55" spans="2:15" ht="12">
      <c r="B55" s="861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62"/>
    </row>
    <row r="56" spans="2:15" ht="12">
      <c r="B56" s="861"/>
      <c r="C56" s="855"/>
      <c r="D56" s="855"/>
      <c r="E56" s="855"/>
      <c r="F56" s="855"/>
      <c r="G56" s="855"/>
      <c r="H56" s="855"/>
      <c r="I56" s="855"/>
      <c r="J56" s="855"/>
      <c r="K56" s="855"/>
      <c r="L56" s="855"/>
      <c r="M56" s="855"/>
      <c r="N56" s="855"/>
      <c r="O56" s="862"/>
    </row>
    <row r="57" spans="2:15" ht="12">
      <c r="B57" s="861"/>
      <c r="C57" s="855"/>
      <c r="D57" s="855"/>
      <c r="E57" s="855"/>
      <c r="F57" s="855"/>
      <c r="G57" s="855"/>
      <c r="H57" s="855"/>
      <c r="I57" s="855"/>
      <c r="J57" s="855"/>
      <c r="K57" s="855"/>
      <c r="L57" s="855"/>
      <c r="M57" s="855"/>
      <c r="N57" s="855"/>
      <c r="O57" s="862"/>
    </row>
    <row r="58" spans="2:15" ht="12">
      <c r="B58" s="861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62"/>
    </row>
    <row r="59" spans="2:15" ht="12">
      <c r="B59" s="861"/>
      <c r="C59" s="855"/>
      <c r="D59" s="855"/>
      <c r="E59" s="855"/>
      <c r="F59" s="855"/>
      <c r="G59" s="855"/>
      <c r="H59" s="855"/>
      <c r="I59" s="855"/>
      <c r="J59" s="855"/>
      <c r="K59" s="855"/>
      <c r="L59" s="855"/>
      <c r="M59" s="855"/>
      <c r="N59" s="855"/>
      <c r="O59" s="862"/>
    </row>
    <row r="60" spans="2:15" ht="12">
      <c r="B60" s="861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62"/>
    </row>
    <row r="61" spans="2:15" ht="12">
      <c r="B61" s="861"/>
      <c r="C61" s="855"/>
      <c r="D61" s="855"/>
      <c r="E61" s="855"/>
      <c r="F61" s="855"/>
      <c r="G61" s="855"/>
      <c r="H61" s="855"/>
      <c r="I61" s="855"/>
      <c r="J61" s="855"/>
      <c r="K61" s="855"/>
      <c r="L61" s="855"/>
      <c r="M61" s="855"/>
      <c r="N61" s="855"/>
      <c r="O61" s="862"/>
    </row>
    <row r="62" spans="2:15" ht="12">
      <c r="B62" s="861"/>
      <c r="C62" s="855"/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62"/>
    </row>
    <row r="63" spans="2:15" ht="12">
      <c r="B63" s="861"/>
      <c r="C63" s="855"/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62"/>
    </row>
    <row r="64" spans="2:15" ht="12">
      <c r="B64" s="861"/>
      <c r="C64" s="855"/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62"/>
    </row>
    <row r="65" spans="2:15" ht="12">
      <c r="B65" s="861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62"/>
    </row>
    <row r="66" spans="2:15" ht="12">
      <c r="B66" s="861"/>
      <c r="C66" s="855"/>
      <c r="D66" s="855"/>
      <c r="E66" s="855"/>
      <c r="F66" s="855"/>
      <c r="G66" s="855"/>
      <c r="H66" s="855"/>
      <c r="I66" s="855"/>
      <c r="J66" s="855"/>
      <c r="K66" s="855"/>
      <c r="L66" s="855"/>
      <c r="M66" s="855"/>
      <c r="N66" s="855"/>
      <c r="O66" s="862"/>
    </row>
    <row r="67" spans="2:15" ht="12">
      <c r="B67" s="861"/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62"/>
    </row>
    <row r="68" spans="2:15" ht="12">
      <c r="B68" s="861"/>
      <c r="C68" s="855"/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62"/>
    </row>
    <row r="69" spans="2:15" ht="12.75" thickBot="1">
      <c r="B69" s="863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5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69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2.421875" style="856" customWidth="1"/>
    <col min="2" max="2" width="9.00390625" style="856" customWidth="1"/>
    <col min="3" max="3" width="12.57421875" style="856" bestFit="1" customWidth="1"/>
    <col min="4" max="4" width="8.140625" style="856" customWidth="1"/>
    <col min="5" max="5" width="10.7109375" style="856" customWidth="1"/>
    <col min="6" max="6" width="12.28125" style="856" customWidth="1"/>
    <col min="7" max="7" width="11.57421875" style="856" customWidth="1"/>
    <col min="8" max="8" width="15.7109375" style="856" customWidth="1"/>
    <col min="9" max="9" width="14.00390625" style="856" customWidth="1"/>
    <col min="10" max="12" width="15.7109375" style="856" customWidth="1"/>
    <col min="13" max="13" width="9.28125" style="856" bestFit="1" customWidth="1"/>
    <col min="14" max="14" width="6.7109375" style="856" customWidth="1"/>
    <col min="15" max="15" width="14.28125" style="856" customWidth="1"/>
    <col min="16" max="16" width="15.8515625" style="856" customWidth="1"/>
    <col min="17" max="17" width="11.57421875" style="856" customWidth="1"/>
    <col min="18" max="18" width="18.7109375" style="856" customWidth="1"/>
    <col min="19" max="16384" width="11.57421875" style="856" customWidth="1"/>
  </cols>
  <sheetData>
    <row r="1" ht="22.5" customHeight="1"/>
    <row r="2" spans="2:18" s="843" customFormat="1" ht="11.25">
      <c r="B2" s="1399" t="s">
        <v>816</v>
      </c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841"/>
      <c r="P2" s="842"/>
      <c r="Q2" s="842"/>
      <c r="R2" s="842"/>
    </row>
    <row r="3" s="844" customFormat="1" ht="11.25"/>
    <row r="4" spans="2:3" s="844" customFormat="1" ht="11.25">
      <c r="B4" s="845" t="s">
        <v>817</v>
      </c>
      <c r="C4" s="844" t="s">
        <v>981</v>
      </c>
    </row>
    <row r="5" s="844" customFormat="1" ht="11.25">
      <c r="B5" s="845"/>
    </row>
    <row r="6" spans="2:18" s="844" customFormat="1" ht="11.25">
      <c r="B6" s="842" t="s">
        <v>831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6"/>
      <c r="Q6" s="846"/>
      <c r="R6" s="846"/>
    </row>
    <row r="7" spans="2:18" s="844" customFormat="1" ht="12" thickBot="1"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</row>
    <row r="8" spans="2:16" s="845" customFormat="1" ht="27" customHeight="1" thickBot="1">
      <c r="B8" s="848"/>
      <c r="C8" s="848"/>
      <c r="D8" s="848"/>
      <c r="E8" s="848"/>
      <c r="F8" s="1400" t="s">
        <v>819</v>
      </c>
      <c r="G8" s="1401"/>
      <c r="H8" s="848"/>
      <c r="I8" s="848"/>
      <c r="J8" s="1402" t="s">
        <v>820</v>
      </c>
      <c r="K8" s="1403"/>
      <c r="L8" s="1404"/>
      <c r="M8" s="848"/>
      <c r="N8" s="848"/>
      <c r="O8" s="848"/>
      <c r="P8" s="848"/>
    </row>
    <row r="9" spans="2:16" s="853" customFormat="1" ht="27" customHeight="1">
      <c r="B9" s="849" t="s">
        <v>821</v>
      </c>
      <c r="C9" s="850" t="s">
        <v>822</v>
      </c>
      <c r="D9" s="851" t="s">
        <v>823</v>
      </c>
      <c r="E9" s="851" t="s">
        <v>824</v>
      </c>
      <c r="F9" s="857">
        <v>2016</v>
      </c>
      <c r="G9" s="858">
        <v>2017</v>
      </c>
      <c r="H9" s="851" t="s">
        <v>825</v>
      </c>
      <c r="I9" s="851" t="s">
        <v>826</v>
      </c>
      <c r="J9" s="851"/>
      <c r="K9" s="851"/>
      <c r="L9" s="851"/>
      <c r="M9" s="851" t="s">
        <v>827</v>
      </c>
      <c r="N9" s="851" t="s">
        <v>145</v>
      </c>
      <c r="O9" s="866" t="s">
        <v>832</v>
      </c>
      <c r="P9" s="852" t="s">
        <v>828</v>
      </c>
    </row>
    <row r="10" spans="2:16" s="847" customFormat="1" ht="12">
      <c r="B10" s="859">
        <v>1</v>
      </c>
      <c r="C10" s="855" t="s">
        <v>934</v>
      </c>
      <c r="D10" s="854"/>
      <c r="E10" s="1000">
        <f>21746.12-2000</f>
        <v>19746.12</v>
      </c>
      <c r="F10" s="1000"/>
      <c r="G10" s="1000">
        <v>1088.52</v>
      </c>
      <c r="H10" s="1000">
        <v>3991.2</v>
      </c>
      <c r="I10" s="1000"/>
      <c r="J10" s="1000"/>
      <c r="K10" s="1002"/>
      <c r="L10" s="1002"/>
      <c r="M10" s="1000">
        <f>7168.32+1000</f>
        <v>8168.32</v>
      </c>
      <c r="N10" s="854"/>
      <c r="O10" s="854"/>
      <c r="P10" s="860"/>
    </row>
    <row r="11" spans="2:16" ht="12">
      <c r="B11" s="954">
        <v>2</v>
      </c>
      <c r="C11" s="855" t="s">
        <v>935</v>
      </c>
      <c r="D11" s="855"/>
      <c r="E11" s="1000">
        <v>17640.92</v>
      </c>
      <c r="F11" s="1000"/>
      <c r="G11" s="1000">
        <v>1296.12</v>
      </c>
      <c r="H11" s="1000">
        <v>4752.14</v>
      </c>
      <c r="I11" s="1000"/>
      <c r="J11" s="1000"/>
      <c r="K11" s="1000"/>
      <c r="L11" s="1000"/>
      <c r="M11" s="1000">
        <f>6905.4+500</f>
        <v>7405.4</v>
      </c>
      <c r="N11" s="855"/>
      <c r="O11" s="855"/>
      <c r="P11" s="862"/>
    </row>
    <row r="12" spans="2:16" ht="12">
      <c r="B12" s="954">
        <v>3</v>
      </c>
      <c r="C12" s="855" t="s">
        <v>935</v>
      </c>
      <c r="D12" s="855"/>
      <c r="E12" s="1000">
        <f>18972.08-1000</f>
        <v>17972.08</v>
      </c>
      <c r="F12" s="1000"/>
      <c r="G12" s="1000">
        <v>756.07</v>
      </c>
      <c r="H12" s="1000">
        <v>4662.14</v>
      </c>
      <c r="I12" s="1000"/>
      <c r="J12" s="1000"/>
      <c r="K12" s="1000"/>
      <c r="L12" s="1000"/>
      <c r="M12" s="1000">
        <v>6678.15</v>
      </c>
      <c r="N12" s="1001"/>
      <c r="O12" s="1001"/>
      <c r="P12" s="862"/>
    </row>
    <row r="13" spans="2:16" ht="12">
      <c r="B13" s="954">
        <v>4</v>
      </c>
      <c r="C13" s="855" t="s">
        <v>935</v>
      </c>
      <c r="D13" s="855"/>
      <c r="E13" s="1000">
        <f>19056.92-1000</f>
        <v>18056.92</v>
      </c>
      <c r="F13" s="1000"/>
      <c r="G13" s="1000">
        <v>972.09</v>
      </c>
      <c r="H13" s="1000">
        <v>4698.14</v>
      </c>
      <c r="I13" s="1000"/>
      <c r="J13" s="1000"/>
      <c r="K13" s="1000"/>
      <c r="L13" s="1000"/>
      <c r="M13" s="1000">
        <f>6769.05+500</f>
        <v>7269.05</v>
      </c>
      <c r="N13" s="855"/>
      <c r="O13" s="855"/>
      <c r="P13" s="862"/>
    </row>
    <row r="14" spans="2:16" ht="12">
      <c r="B14" s="954">
        <v>5</v>
      </c>
      <c r="C14" s="855" t="s">
        <v>935</v>
      </c>
      <c r="D14" s="855"/>
      <c r="E14" s="1000">
        <f>18927.6-413.75</f>
        <v>18513.85</v>
      </c>
      <c r="F14" s="1000"/>
      <c r="G14" s="1000">
        <v>216.02</v>
      </c>
      <c r="H14" s="1000">
        <v>4464.13</v>
      </c>
      <c r="I14" s="1000"/>
      <c r="J14" s="1000"/>
      <c r="K14" s="1000"/>
      <c r="L14" s="1000"/>
      <c r="M14" s="1000">
        <f>6450.9+500</f>
        <v>6950.9</v>
      </c>
      <c r="N14" s="855"/>
      <c r="O14" s="855"/>
      <c r="P14" s="862"/>
    </row>
    <row r="15" spans="2:16" ht="12">
      <c r="B15" s="954">
        <v>6</v>
      </c>
      <c r="C15" s="855" t="s">
        <v>935</v>
      </c>
      <c r="D15" s="855"/>
      <c r="E15" s="1000">
        <v>15838.28</v>
      </c>
      <c r="F15" s="1000"/>
      <c r="G15" s="1000">
        <v>0</v>
      </c>
      <c r="H15" s="1000">
        <v>4251.12</v>
      </c>
      <c r="I15" s="1000"/>
      <c r="J15" s="1000"/>
      <c r="K15" s="1000"/>
      <c r="L15" s="1000"/>
      <c r="M15" s="1000">
        <f>6360+318.46</f>
        <v>6678.46</v>
      </c>
      <c r="N15" s="855"/>
      <c r="O15" s="855"/>
      <c r="P15" s="862"/>
    </row>
    <row r="16" spans="2:16" ht="12">
      <c r="B16" s="954">
        <v>7</v>
      </c>
      <c r="C16" s="855" t="s">
        <v>935</v>
      </c>
      <c r="D16" s="855"/>
      <c r="E16" s="1000">
        <v>17328.8</v>
      </c>
      <c r="F16" s="1000"/>
      <c r="G16" s="1000">
        <v>3456.24</v>
      </c>
      <c r="H16" s="1000">
        <v>4932.14</v>
      </c>
      <c r="I16" s="1000"/>
      <c r="J16" s="1000"/>
      <c r="K16" s="1000"/>
      <c r="L16" s="1000"/>
      <c r="M16" s="1000">
        <v>7087.12</v>
      </c>
      <c r="N16" s="1001"/>
      <c r="O16" s="855"/>
      <c r="P16" s="862"/>
    </row>
    <row r="17" spans="2:18" ht="12">
      <c r="B17" s="954">
        <v>8</v>
      </c>
      <c r="C17" s="855" t="s">
        <v>935</v>
      </c>
      <c r="D17" s="855"/>
      <c r="E17" s="1000">
        <v>15769.4</v>
      </c>
      <c r="F17" s="1000"/>
      <c r="G17" s="1000">
        <v>0</v>
      </c>
      <c r="H17" s="1000">
        <v>4320</v>
      </c>
      <c r="I17" s="1000"/>
      <c r="J17" s="1000"/>
      <c r="K17" s="1000"/>
      <c r="L17" s="1000"/>
      <c r="M17" s="1000">
        <f>6360+318.46</f>
        <v>6678.46</v>
      </c>
      <c r="N17" s="1001"/>
      <c r="O17" s="855"/>
      <c r="P17" s="862"/>
      <c r="R17" s="963"/>
    </row>
    <row r="18" spans="2:16" ht="12">
      <c r="B18" s="954"/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62"/>
    </row>
    <row r="19" spans="2:16" ht="12">
      <c r="B19" s="861"/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62"/>
    </row>
    <row r="20" spans="2:16" ht="12">
      <c r="B20" s="861"/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62"/>
    </row>
    <row r="21" spans="2:16" ht="12">
      <c r="B21" s="861"/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62"/>
    </row>
    <row r="22" spans="2:16" ht="12">
      <c r="B22" s="861"/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55"/>
      <c r="P22" s="862"/>
    </row>
    <row r="23" spans="2:16" ht="12">
      <c r="B23" s="861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62"/>
    </row>
    <row r="24" spans="2:16" ht="12">
      <c r="B24" s="861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62"/>
    </row>
    <row r="25" spans="2:16" ht="12">
      <c r="B25" s="861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62"/>
    </row>
    <row r="26" spans="2:16" ht="12">
      <c r="B26" s="861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62"/>
    </row>
    <row r="27" spans="2:16" ht="12">
      <c r="B27" s="861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62"/>
    </row>
    <row r="28" spans="2:16" ht="12">
      <c r="B28" s="861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62"/>
    </row>
    <row r="29" spans="2:16" ht="12">
      <c r="B29" s="861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62"/>
    </row>
    <row r="30" spans="2:16" ht="12">
      <c r="B30" s="861"/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62"/>
    </row>
    <row r="31" spans="2:16" ht="12">
      <c r="B31" s="861"/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62"/>
    </row>
    <row r="32" spans="2:16" ht="12">
      <c r="B32" s="861"/>
      <c r="C32" s="855"/>
      <c r="D32" s="855"/>
      <c r="E32" s="855"/>
      <c r="F32" s="855"/>
      <c r="G32" s="855"/>
      <c r="H32" s="855"/>
      <c r="I32" s="855"/>
      <c r="J32" s="855"/>
      <c r="K32" s="855"/>
      <c r="L32" s="855"/>
      <c r="M32" s="855"/>
      <c r="N32" s="855"/>
      <c r="O32" s="855"/>
      <c r="P32" s="862"/>
    </row>
    <row r="33" spans="2:16" ht="12">
      <c r="B33" s="861"/>
      <c r="C33" s="855"/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5"/>
      <c r="O33" s="855"/>
      <c r="P33" s="862"/>
    </row>
    <row r="34" spans="2:16" ht="12">
      <c r="B34" s="861"/>
      <c r="C34" s="855"/>
      <c r="D34" s="855"/>
      <c r="E34" s="855"/>
      <c r="F34" s="855"/>
      <c r="G34" s="855"/>
      <c r="H34" s="855"/>
      <c r="I34" s="855"/>
      <c r="J34" s="855"/>
      <c r="K34" s="855"/>
      <c r="L34" s="855"/>
      <c r="M34" s="855"/>
      <c r="N34" s="855"/>
      <c r="O34" s="855"/>
      <c r="P34" s="862"/>
    </row>
    <row r="35" spans="2:16" ht="12">
      <c r="B35" s="861"/>
      <c r="C35" s="855"/>
      <c r="D35" s="855"/>
      <c r="E35" s="855"/>
      <c r="F35" s="855"/>
      <c r="G35" s="855"/>
      <c r="H35" s="855"/>
      <c r="I35" s="855"/>
      <c r="J35" s="855"/>
      <c r="K35" s="855"/>
      <c r="L35" s="855"/>
      <c r="M35" s="855"/>
      <c r="N35" s="855"/>
      <c r="O35" s="855"/>
      <c r="P35" s="862"/>
    </row>
    <row r="36" spans="2:16" ht="12">
      <c r="B36" s="861"/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  <c r="N36" s="855"/>
      <c r="O36" s="855"/>
      <c r="P36" s="862"/>
    </row>
    <row r="37" spans="2:16" ht="12">
      <c r="B37" s="861"/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55"/>
      <c r="P37" s="862"/>
    </row>
    <row r="38" spans="2:16" ht="12">
      <c r="B38" s="861"/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862"/>
    </row>
    <row r="39" spans="2:16" ht="12">
      <c r="B39" s="861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62"/>
    </row>
    <row r="40" spans="2:16" ht="12">
      <c r="B40" s="861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62"/>
    </row>
    <row r="41" spans="2:16" ht="12">
      <c r="B41" s="861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62"/>
    </row>
    <row r="42" spans="2:16" ht="12">
      <c r="B42" s="861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62"/>
    </row>
    <row r="43" spans="2:16" ht="12">
      <c r="B43" s="861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62"/>
    </row>
    <row r="44" spans="2:16" ht="12">
      <c r="B44" s="861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62"/>
    </row>
    <row r="45" spans="2:16" ht="12">
      <c r="B45" s="861"/>
      <c r="C45" s="855"/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55"/>
      <c r="P45" s="862"/>
    </row>
    <row r="46" spans="2:16" ht="12">
      <c r="B46" s="861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55"/>
      <c r="P46" s="862"/>
    </row>
    <row r="47" spans="2:16" ht="12">
      <c r="B47" s="861"/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55"/>
      <c r="P47" s="862"/>
    </row>
    <row r="48" spans="2:16" ht="12">
      <c r="B48" s="861"/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5"/>
      <c r="P48" s="862"/>
    </row>
    <row r="49" spans="2:16" ht="12">
      <c r="B49" s="861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62"/>
    </row>
    <row r="50" spans="2:16" ht="12">
      <c r="B50" s="861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62"/>
    </row>
    <row r="51" spans="2:16" ht="12">
      <c r="B51" s="861"/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62"/>
    </row>
    <row r="52" spans="2:16" ht="12">
      <c r="B52" s="861"/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62"/>
    </row>
    <row r="53" spans="2:16" ht="12">
      <c r="B53" s="861"/>
      <c r="C53" s="855"/>
      <c r="D53" s="855"/>
      <c r="E53" s="855"/>
      <c r="F53" s="855"/>
      <c r="G53" s="855"/>
      <c r="H53" s="855"/>
      <c r="I53" s="855"/>
      <c r="J53" s="855"/>
      <c r="K53" s="855"/>
      <c r="L53" s="855"/>
      <c r="M53" s="855"/>
      <c r="N53" s="855"/>
      <c r="O53" s="855"/>
      <c r="P53" s="862"/>
    </row>
    <row r="54" spans="2:16" ht="12">
      <c r="B54" s="861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  <c r="O54" s="855"/>
      <c r="P54" s="862"/>
    </row>
    <row r="55" spans="2:16" ht="12">
      <c r="B55" s="861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62"/>
    </row>
    <row r="56" spans="2:16" ht="12">
      <c r="B56" s="861"/>
      <c r="C56" s="855"/>
      <c r="D56" s="855"/>
      <c r="E56" s="855"/>
      <c r="F56" s="855"/>
      <c r="G56" s="855"/>
      <c r="H56" s="855"/>
      <c r="I56" s="855"/>
      <c r="J56" s="855"/>
      <c r="K56" s="855"/>
      <c r="L56" s="855"/>
      <c r="M56" s="855"/>
      <c r="N56" s="855"/>
      <c r="O56" s="855"/>
      <c r="P56" s="862"/>
    </row>
    <row r="57" spans="2:16" ht="12">
      <c r="B57" s="861"/>
      <c r="C57" s="855"/>
      <c r="D57" s="855"/>
      <c r="E57" s="855"/>
      <c r="F57" s="855"/>
      <c r="G57" s="855"/>
      <c r="H57" s="855"/>
      <c r="I57" s="855"/>
      <c r="J57" s="855"/>
      <c r="K57" s="855"/>
      <c r="L57" s="855"/>
      <c r="M57" s="855"/>
      <c r="N57" s="855"/>
      <c r="O57" s="855"/>
      <c r="P57" s="862"/>
    </row>
    <row r="58" spans="2:16" ht="12">
      <c r="B58" s="861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62"/>
    </row>
    <row r="59" spans="2:16" ht="12">
      <c r="B59" s="861"/>
      <c r="C59" s="855"/>
      <c r="D59" s="855"/>
      <c r="E59" s="855"/>
      <c r="F59" s="855"/>
      <c r="G59" s="855"/>
      <c r="H59" s="855"/>
      <c r="I59" s="855"/>
      <c r="J59" s="855"/>
      <c r="K59" s="855"/>
      <c r="L59" s="855"/>
      <c r="M59" s="855"/>
      <c r="N59" s="855"/>
      <c r="O59" s="855"/>
      <c r="P59" s="862"/>
    </row>
    <row r="60" spans="2:16" ht="12">
      <c r="B60" s="861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55"/>
      <c r="P60" s="862"/>
    </row>
    <row r="61" spans="2:16" ht="12">
      <c r="B61" s="861"/>
      <c r="C61" s="855"/>
      <c r="D61" s="855"/>
      <c r="E61" s="855"/>
      <c r="F61" s="855"/>
      <c r="G61" s="855"/>
      <c r="H61" s="855"/>
      <c r="I61" s="855"/>
      <c r="J61" s="855"/>
      <c r="K61" s="855"/>
      <c r="L61" s="855"/>
      <c r="M61" s="855"/>
      <c r="N61" s="855"/>
      <c r="O61" s="855"/>
      <c r="P61" s="862"/>
    </row>
    <row r="62" spans="2:16" ht="12">
      <c r="B62" s="861"/>
      <c r="C62" s="855"/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62"/>
    </row>
    <row r="63" spans="2:16" ht="12">
      <c r="B63" s="861"/>
      <c r="C63" s="855"/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55"/>
      <c r="P63" s="862"/>
    </row>
    <row r="64" spans="2:16" ht="12">
      <c r="B64" s="861"/>
      <c r="C64" s="855"/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55"/>
      <c r="P64" s="862"/>
    </row>
    <row r="65" spans="2:16" ht="12">
      <c r="B65" s="861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62"/>
    </row>
    <row r="66" spans="2:16" ht="12">
      <c r="B66" s="861"/>
      <c r="C66" s="855"/>
      <c r="D66" s="855"/>
      <c r="E66" s="855"/>
      <c r="F66" s="855"/>
      <c r="G66" s="855"/>
      <c r="H66" s="855"/>
      <c r="I66" s="855"/>
      <c r="J66" s="855"/>
      <c r="K66" s="855"/>
      <c r="L66" s="855"/>
      <c r="M66" s="855"/>
      <c r="N66" s="855"/>
      <c r="O66" s="855"/>
      <c r="P66" s="862"/>
    </row>
    <row r="67" spans="2:16" ht="12">
      <c r="B67" s="861"/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62"/>
    </row>
    <row r="68" spans="2:16" ht="12">
      <c r="B68" s="861"/>
      <c r="C68" s="855"/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55"/>
      <c r="P68" s="862"/>
    </row>
    <row r="69" spans="2:16" ht="12.75" thickBot="1">
      <c r="B69" s="863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5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spans="2:3" ht="15">
      <c r="B2" s="867" t="s">
        <v>833</v>
      </c>
      <c r="C2" t="s">
        <v>981</v>
      </c>
    </row>
    <row r="4" spans="2:4" s="869" customFormat="1" ht="15">
      <c r="B4" s="868" t="s">
        <v>834</v>
      </c>
      <c r="C4" s="868">
        <v>2016</v>
      </c>
      <c r="D4" s="868">
        <v>2017</v>
      </c>
    </row>
    <row r="5" spans="2:4" ht="12.75">
      <c r="B5" s="870" t="s">
        <v>835</v>
      </c>
      <c r="C5" s="871"/>
      <c r="D5" s="871"/>
    </row>
    <row r="6" spans="2:4" ht="15">
      <c r="B6" s="872" t="s">
        <v>836</v>
      </c>
      <c r="C6" s="871"/>
      <c r="D6" s="871"/>
    </row>
    <row r="7" spans="2:4" ht="15">
      <c r="B7" s="873" t="s">
        <v>145</v>
      </c>
      <c r="C7" s="874">
        <f>SUM(C5:C6)</f>
        <v>0</v>
      </c>
      <c r="D7" s="874">
        <f>SUM(D5:D6)</f>
        <v>0</v>
      </c>
    </row>
    <row r="8" spans="2:4" ht="15">
      <c r="B8" s="875"/>
      <c r="C8" s="876"/>
      <c r="D8" s="876"/>
    </row>
    <row r="11" spans="2:4" s="878" customFormat="1" ht="15">
      <c r="B11" s="877" t="s">
        <v>837</v>
      </c>
      <c r="C11" s="877">
        <v>2016</v>
      </c>
      <c r="D11" s="877">
        <v>2017</v>
      </c>
    </row>
    <row r="12" spans="2:4" ht="12.75">
      <c r="B12" s="879" t="s">
        <v>838</v>
      </c>
      <c r="C12" s="880"/>
      <c r="D12" s="880"/>
    </row>
    <row r="13" spans="2:4" ht="12.75">
      <c r="B13" s="879" t="s">
        <v>839</v>
      </c>
      <c r="C13" s="880"/>
      <c r="D13" s="880"/>
    </row>
    <row r="14" spans="2:4" ht="15">
      <c r="B14" s="879" t="s">
        <v>840</v>
      </c>
      <c r="C14" s="880"/>
      <c r="D14" s="880"/>
    </row>
    <row r="15" spans="2:4" ht="12.75">
      <c r="B15" s="879" t="s">
        <v>841</v>
      </c>
      <c r="C15" s="880"/>
      <c r="D15" s="880"/>
    </row>
    <row r="16" spans="2:4" ht="30">
      <c r="B16" s="870" t="s">
        <v>842</v>
      </c>
      <c r="C16" s="880"/>
      <c r="D16" s="880"/>
    </row>
    <row r="17" spans="2:4" ht="15">
      <c r="B17" s="873" t="s">
        <v>145</v>
      </c>
      <c r="C17" s="874">
        <f>SUM(C12:C16)</f>
        <v>0</v>
      </c>
      <c r="D17" s="874">
        <f>SUM(D12:D16)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5" max="5" width="11.7109375" style="0" bestFit="1" customWidth="1"/>
    <col min="6" max="6" width="21.7109375" style="0" customWidth="1"/>
  </cols>
  <sheetData>
    <row r="2" ht="13.5" thickBot="1"/>
    <row r="3" spans="2:6" ht="15.75" thickBot="1">
      <c r="B3" s="881" t="s">
        <v>982</v>
      </c>
      <c r="C3" s="882"/>
      <c r="D3" s="882"/>
      <c r="E3" s="882"/>
      <c r="F3" s="883"/>
    </row>
    <row r="5" ht="13.5" thickBot="1"/>
    <row r="6" spans="4:6" s="878" customFormat="1" ht="15.75" thickBot="1">
      <c r="D6" s="884">
        <v>2017</v>
      </c>
      <c r="E6" s="885">
        <v>2016</v>
      </c>
      <c r="F6" s="886" t="s">
        <v>415</v>
      </c>
    </row>
    <row r="7" spans="2:6" ht="15">
      <c r="B7" s="887" t="s">
        <v>843</v>
      </c>
      <c r="C7" s="888"/>
      <c r="D7" s="966">
        <v>1260916.66</v>
      </c>
      <c r="E7" s="967">
        <v>1306577</v>
      </c>
      <c r="F7" s="889"/>
    </row>
    <row r="8" spans="2:6" ht="15">
      <c r="B8" s="890" t="s">
        <v>819</v>
      </c>
      <c r="C8" s="891"/>
      <c r="D8" s="871">
        <v>259865.26</v>
      </c>
      <c r="E8" s="967">
        <v>227148.04</v>
      </c>
      <c r="F8" s="744"/>
    </row>
    <row r="9" spans="2:6" ht="15">
      <c r="B9" s="890" t="s">
        <v>826</v>
      </c>
      <c r="C9" s="891"/>
      <c r="D9" s="871"/>
      <c r="E9" s="871"/>
      <c r="F9" s="744"/>
    </row>
    <row r="10" spans="2:6" ht="15">
      <c r="B10" s="892" t="s">
        <v>844</v>
      </c>
      <c r="C10" s="893"/>
      <c r="D10" s="968"/>
      <c r="E10" s="968"/>
      <c r="F10" s="894"/>
    </row>
    <row r="11" spans="2:6" ht="15.75" thickBot="1">
      <c r="B11" s="895" t="s">
        <v>845</v>
      </c>
      <c r="C11" s="893"/>
      <c r="D11" s="968">
        <v>457047.17</v>
      </c>
      <c r="E11" s="968">
        <v>436664.05</v>
      </c>
      <c r="F11" s="896"/>
    </row>
    <row r="12" spans="2:5" ht="15.75" thickBot="1">
      <c r="B12" s="867"/>
      <c r="C12" s="897" t="s">
        <v>145</v>
      </c>
      <c r="D12" s="969">
        <f>SUM(D7:D11)</f>
        <v>1977829.0899999999</v>
      </c>
      <c r="E12" s="970">
        <f>SUM(E7:E11)</f>
        <v>1970389.09</v>
      </c>
    </row>
    <row r="13" spans="2:3" ht="15">
      <c r="B13" s="867"/>
      <c r="C13" s="867"/>
    </row>
    <row r="14" spans="2:3" ht="15">
      <c r="B14" s="867"/>
      <c r="C14" s="867"/>
    </row>
    <row r="15" spans="2:3" ht="15">
      <c r="B15" s="867"/>
      <c r="C15" s="86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66"/>
  <sheetViews>
    <sheetView zoomScale="75" zoomScaleNormal="75" zoomScalePageLayoutView="0" workbookViewId="0" topLeftCell="A1">
      <selection activeCell="E29" sqref="E29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413" t="s">
        <v>604</v>
      </c>
      <c r="C2" s="1414"/>
      <c r="D2" s="1415"/>
      <c r="E2" s="236">
        <f>CPYG!E2</f>
        <v>2017</v>
      </c>
    </row>
    <row r="3" spans="2:5" ht="42.75" customHeight="1">
      <c r="B3" s="1416" t="str">
        <f>CPYG!B3</f>
        <v>ENTIDAD: SPET</v>
      </c>
      <c r="C3" s="1417"/>
      <c r="D3" s="1418"/>
      <c r="E3" s="328" t="s">
        <v>205</v>
      </c>
    </row>
    <row r="4" spans="2:5" s="133" customFormat="1" ht="24.75" customHeight="1">
      <c r="B4" s="1419" t="s">
        <v>796</v>
      </c>
      <c r="C4" s="1420"/>
      <c r="D4" s="1420"/>
      <c r="E4" s="1421"/>
    </row>
    <row r="5" spans="2:5" s="133" customFormat="1" ht="16.5" customHeight="1">
      <c r="B5" s="1422" t="s">
        <v>122</v>
      </c>
      <c r="C5" s="1423"/>
      <c r="D5" s="1424" t="s">
        <v>124</v>
      </c>
      <c r="E5" s="1425"/>
    </row>
    <row r="6" spans="2:5" s="133" customFormat="1" ht="19.5" customHeight="1">
      <c r="B6" s="718" t="s">
        <v>123</v>
      </c>
      <c r="C6" s="322" t="s">
        <v>120</v>
      </c>
      <c r="D6" s="322" t="s">
        <v>123</v>
      </c>
      <c r="E6" s="719" t="s">
        <v>120</v>
      </c>
    </row>
    <row r="7" spans="2:5" s="133" customFormat="1" ht="19.5" customHeight="1">
      <c r="B7" s="331" t="s">
        <v>147</v>
      </c>
      <c r="C7" s="323"/>
      <c r="D7" s="324" t="s">
        <v>147</v>
      </c>
      <c r="E7" s="333"/>
    </row>
    <row r="8" spans="2:5" s="230" customFormat="1" ht="19.5" customHeight="1">
      <c r="B8" s="714" t="s">
        <v>148</v>
      </c>
      <c r="C8" s="325"/>
      <c r="D8" s="908" t="s">
        <v>148</v>
      </c>
      <c r="E8" s="717"/>
    </row>
    <row r="9" spans="2:5" s="230" customFormat="1" ht="19.5" customHeight="1">
      <c r="B9" s="714" t="s">
        <v>149</v>
      </c>
      <c r="C9" s="325"/>
      <c r="D9" s="908" t="s">
        <v>149</v>
      </c>
      <c r="E9" s="717"/>
    </row>
    <row r="10" spans="2:5" s="230" customFormat="1" ht="19.5" customHeight="1">
      <c r="B10" s="714" t="s">
        <v>150</v>
      </c>
      <c r="C10" s="325"/>
      <c r="D10" s="908" t="s">
        <v>150</v>
      </c>
      <c r="E10" s="717"/>
    </row>
    <row r="11" spans="2:5" s="230" customFormat="1" ht="19.5" customHeight="1">
      <c r="B11" s="714" t="s">
        <v>151</v>
      </c>
      <c r="C11" s="325"/>
      <c r="D11" s="908" t="s">
        <v>151</v>
      </c>
      <c r="E11" s="717"/>
    </row>
    <row r="12" spans="2:5" s="230" customFormat="1" ht="19.5" customHeight="1">
      <c r="B12" s="714" t="s">
        <v>603</v>
      </c>
      <c r="C12" s="325"/>
      <c r="D12" s="908" t="s">
        <v>603</v>
      </c>
      <c r="E12" s="717"/>
    </row>
    <row r="13" spans="2:5" s="230" customFormat="1" ht="19.5" customHeight="1">
      <c r="B13" s="714" t="s">
        <v>797</v>
      </c>
      <c r="C13" s="325"/>
      <c r="D13" s="908" t="s">
        <v>797</v>
      </c>
      <c r="E13" s="717"/>
    </row>
    <row r="14" spans="2:5" s="230" customFormat="1" ht="19.5" customHeight="1">
      <c r="B14" s="714" t="s">
        <v>184</v>
      </c>
      <c r="C14" s="325"/>
      <c r="D14" s="908" t="s">
        <v>184</v>
      </c>
      <c r="E14" s="717"/>
    </row>
    <row r="15" spans="2:7" s="230" customFormat="1" ht="19.5" customHeight="1">
      <c r="B15" s="714" t="s">
        <v>152</v>
      </c>
      <c r="C15" s="898"/>
      <c r="D15" s="908" t="s">
        <v>152</v>
      </c>
      <c r="E15" s="904"/>
      <c r="G15" s="899"/>
    </row>
    <row r="16" spans="2:5" s="230" customFormat="1" ht="19.5" customHeight="1">
      <c r="B16" s="714" t="s">
        <v>153</v>
      </c>
      <c r="C16" s="898"/>
      <c r="D16" s="908" t="s">
        <v>153</v>
      </c>
      <c r="E16" s="904"/>
    </row>
    <row r="17" spans="2:5" s="230" customFormat="1" ht="19.5" customHeight="1">
      <c r="B17" s="714" t="s">
        <v>154</v>
      </c>
      <c r="C17" s="898"/>
      <c r="D17" s="908" t="s">
        <v>154</v>
      </c>
      <c r="E17" s="904"/>
    </row>
    <row r="18" spans="2:5" s="230" customFormat="1" ht="19.5" customHeight="1">
      <c r="B18" s="714" t="s">
        <v>156</v>
      </c>
      <c r="C18" s="898"/>
      <c r="D18" s="908" t="s">
        <v>156</v>
      </c>
      <c r="E18" s="717">
        <v>69936</v>
      </c>
    </row>
    <row r="19" spans="2:5" s="230" customFormat="1" ht="19.5" customHeight="1">
      <c r="B19" s="714" t="s">
        <v>155</v>
      </c>
      <c r="C19" s="325"/>
      <c r="D19" s="908" t="s">
        <v>155</v>
      </c>
      <c r="E19" s="717"/>
    </row>
    <row r="20" spans="2:5" s="230" customFormat="1" ht="19.5" customHeight="1">
      <c r="B20" s="714" t="s">
        <v>798</v>
      </c>
      <c r="C20" s="325"/>
      <c r="D20" s="908" t="s">
        <v>799</v>
      </c>
      <c r="E20" s="717"/>
    </row>
    <row r="21" spans="2:5" s="230" customFormat="1" ht="19.5" customHeight="1">
      <c r="B21" s="714" t="s">
        <v>157</v>
      </c>
      <c r="C21" s="325"/>
      <c r="D21" s="908" t="s">
        <v>157</v>
      </c>
      <c r="E21" s="717"/>
    </row>
    <row r="22" spans="2:5" s="230" customFormat="1" ht="19.5" customHeight="1">
      <c r="B22" s="714" t="s">
        <v>800</v>
      </c>
      <c r="C22" s="325"/>
      <c r="D22" s="908" t="s">
        <v>800</v>
      </c>
      <c r="E22" s="717"/>
    </row>
    <row r="23" spans="2:5" s="230" customFormat="1" ht="19.5" customHeight="1">
      <c r="B23" s="714" t="s">
        <v>160</v>
      </c>
      <c r="C23" s="325"/>
      <c r="D23" s="908" t="s">
        <v>160</v>
      </c>
      <c r="E23" s="717"/>
    </row>
    <row r="24" spans="2:5" s="230" customFormat="1" ht="19.5" customHeight="1">
      <c r="B24" s="714" t="s">
        <v>801</v>
      </c>
      <c r="C24" s="325"/>
      <c r="D24" s="908" t="s">
        <v>801</v>
      </c>
      <c r="E24" s="717"/>
    </row>
    <row r="25" spans="2:5" s="230" customFormat="1" ht="19.5" customHeight="1">
      <c r="B25" s="714" t="s">
        <v>802</v>
      </c>
      <c r="C25" s="325"/>
      <c r="D25" s="908" t="s">
        <v>802</v>
      </c>
      <c r="E25" s="717"/>
    </row>
    <row r="26" spans="2:5" s="230" customFormat="1" ht="19.5" customHeight="1">
      <c r="B26" s="714" t="s">
        <v>159</v>
      </c>
      <c r="C26" s="325"/>
      <c r="D26" s="908" t="s">
        <v>159</v>
      </c>
      <c r="E26" s="717"/>
    </row>
    <row r="27" spans="2:5" s="230" customFormat="1" ht="19.5" customHeight="1">
      <c r="B27" s="714" t="s">
        <v>803</v>
      </c>
      <c r="C27" s="325"/>
      <c r="D27" s="908" t="s">
        <v>803</v>
      </c>
      <c r="E27" s="717"/>
    </row>
    <row r="28" spans="2:5" s="230" customFormat="1" ht="19.5" customHeight="1">
      <c r="B28" s="714" t="s">
        <v>804</v>
      </c>
      <c r="C28" s="325"/>
      <c r="D28" s="908" t="s">
        <v>804</v>
      </c>
      <c r="E28" s="717"/>
    </row>
    <row r="29" spans="2:5" s="230" customFormat="1" ht="19.5" customHeight="1">
      <c r="B29" s="714" t="s">
        <v>805</v>
      </c>
      <c r="C29" s="325"/>
      <c r="D29" s="908" t="s">
        <v>805</v>
      </c>
      <c r="E29" s="717"/>
    </row>
    <row r="30" spans="2:5" s="230" customFormat="1" ht="19.5" customHeight="1">
      <c r="B30" s="714" t="s">
        <v>806</v>
      </c>
      <c r="C30" s="325"/>
      <c r="D30" s="908" t="s">
        <v>806</v>
      </c>
      <c r="E30" s="717"/>
    </row>
    <row r="31" spans="2:5" s="230" customFormat="1" ht="29.25" customHeight="1">
      <c r="B31" s="905" t="s">
        <v>443</v>
      </c>
      <c r="C31" s="325"/>
      <c r="D31" s="908" t="s">
        <v>443</v>
      </c>
      <c r="E31" s="717"/>
    </row>
    <row r="32" spans="2:5" s="230" customFormat="1" ht="29.25" customHeight="1">
      <c r="B32" s="905" t="s">
        <v>185</v>
      </c>
      <c r="C32" s="325"/>
      <c r="D32" s="908" t="s">
        <v>185</v>
      </c>
      <c r="E32" s="717"/>
    </row>
    <row r="33" spans="2:5" s="230" customFormat="1" ht="29.25" customHeight="1">
      <c r="B33" s="905" t="s">
        <v>191</v>
      </c>
      <c r="C33" s="325"/>
      <c r="D33" s="908" t="s">
        <v>191</v>
      </c>
      <c r="E33" s="717"/>
    </row>
    <row r="34" spans="2:5" s="230" customFormat="1" ht="29.25" customHeight="1">
      <c r="B34" s="905" t="s">
        <v>847</v>
      </c>
      <c r="C34" s="325"/>
      <c r="D34" s="909" t="s">
        <v>847</v>
      </c>
      <c r="E34" s="717"/>
    </row>
    <row r="35" spans="2:5" s="230" customFormat="1" ht="29.25" customHeight="1">
      <c r="B35" s="905" t="s">
        <v>848</v>
      </c>
      <c r="C35" s="325"/>
      <c r="D35" s="909" t="s">
        <v>848</v>
      </c>
      <c r="E35" s="717"/>
    </row>
    <row r="36" spans="2:5" s="230" customFormat="1" ht="29.25" customHeight="1">
      <c r="B36" s="905" t="s">
        <v>846</v>
      </c>
      <c r="C36" s="325"/>
      <c r="D36" s="909" t="s">
        <v>846</v>
      </c>
      <c r="E36" s="717"/>
    </row>
    <row r="37" spans="2:5" s="230" customFormat="1" ht="29.25" customHeight="1">
      <c r="B37" s="905" t="s">
        <v>754</v>
      </c>
      <c r="C37" s="325"/>
      <c r="D37" s="908" t="str">
        <f>B37</f>
        <v>FUNDACION TENERIFE RURAL</v>
      </c>
      <c r="E37" s="717"/>
    </row>
    <row r="38" spans="2:5" s="230" customFormat="1" ht="29.25" customHeight="1">
      <c r="B38" s="905" t="s">
        <v>187</v>
      </c>
      <c r="C38" s="325"/>
      <c r="D38" s="908" t="s">
        <v>187</v>
      </c>
      <c r="E38" s="717"/>
    </row>
    <row r="39" spans="2:5" s="230" customFormat="1" ht="22.5" customHeight="1">
      <c r="B39" s="905" t="s">
        <v>186</v>
      </c>
      <c r="C39" s="325"/>
      <c r="D39" s="908" t="s">
        <v>186</v>
      </c>
      <c r="E39" s="717"/>
    </row>
    <row r="40" spans="2:5" s="230" customFormat="1" ht="29.25" customHeight="1">
      <c r="B40" s="905" t="s">
        <v>188</v>
      </c>
      <c r="C40" s="325"/>
      <c r="D40" s="908" t="s">
        <v>188</v>
      </c>
      <c r="E40" s="717"/>
    </row>
    <row r="41" spans="2:5" s="133" customFormat="1" ht="29.25" customHeight="1">
      <c r="B41" s="720" t="s">
        <v>849</v>
      </c>
      <c r="C41" s="323"/>
      <c r="D41" s="907" t="s">
        <v>849</v>
      </c>
      <c r="E41" s="333"/>
    </row>
    <row r="42" spans="2:5" s="133" customFormat="1" ht="29.25" customHeight="1">
      <c r="B42" s="720" t="s">
        <v>855</v>
      </c>
      <c r="C42" s="323"/>
      <c r="D42" s="907" t="s">
        <v>855</v>
      </c>
      <c r="E42" s="333"/>
    </row>
    <row r="43" spans="2:5" s="133" customFormat="1" ht="29.25" customHeight="1">
      <c r="B43" s="720" t="s">
        <v>856</v>
      </c>
      <c r="C43" s="323"/>
      <c r="D43" s="907" t="s">
        <v>856</v>
      </c>
      <c r="E43" s="333"/>
    </row>
    <row r="44" spans="2:5" s="133" customFormat="1" ht="29.25" customHeight="1">
      <c r="B44" s="720" t="s">
        <v>857</v>
      </c>
      <c r="C44" s="323"/>
      <c r="D44" s="907" t="s">
        <v>857</v>
      </c>
      <c r="E44" s="333"/>
    </row>
    <row r="45" spans="2:5" s="133" customFormat="1" ht="29.25" customHeight="1" thickBot="1">
      <c r="B45" s="900" t="s">
        <v>858</v>
      </c>
      <c r="C45" s="901"/>
      <c r="D45" s="903" t="s">
        <v>858</v>
      </c>
      <c r="E45" s="902"/>
    </row>
    <row r="46" spans="2:5" s="133" customFormat="1" ht="33" customHeight="1" thickBot="1">
      <c r="B46" s="910" t="s">
        <v>145</v>
      </c>
      <c r="C46" s="911">
        <f>SUM(C7:C45)</f>
        <v>0</v>
      </c>
      <c r="D46" s="912" t="s">
        <v>145</v>
      </c>
      <c r="E46" s="913">
        <f>SUM(E7:E45)</f>
        <v>69936</v>
      </c>
    </row>
    <row r="47" ht="12.75">
      <c r="C47" s="326"/>
    </row>
    <row r="48" ht="13.5" thickBot="1"/>
    <row r="49" spans="2:5" ht="24.75" customHeight="1" thickBot="1">
      <c r="B49" s="1406" t="s">
        <v>189</v>
      </c>
      <c r="C49" s="1407"/>
      <c r="D49" s="1407"/>
      <c r="E49" s="1408"/>
    </row>
    <row r="50" spans="2:5" ht="20.25" customHeight="1" thickBot="1">
      <c r="B50" s="1406" t="s">
        <v>796</v>
      </c>
      <c r="C50" s="1407"/>
      <c r="D50" s="1407"/>
      <c r="E50" s="1408"/>
    </row>
    <row r="51" spans="2:5" ht="18" customHeight="1">
      <c r="B51" s="1409" t="s">
        <v>122</v>
      </c>
      <c r="C51" s="1410"/>
      <c r="D51" s="1411" t="s">
        <v>124</v>
      </c>
      <c r="E51" s="1412"/>
    </row>
    <row r="52" spans="2:5" ht="19.5" customHeight="1">
      <c r="B52" s="718" t="s">
        <v>123</v>
      </c>
      <c r="C52" s="322" t="s">
        <v>120</v>
      </c>
      <c r="D52" s="322" t="s">
        <v>123</v>
      </c>
      <c r="E52" s="719" t="s">
        <v>120</v>
      </c>
    </row>
    <row r="53" spans="2:5" ht="23.25" customHeight="1">
      <c r="B53" s="331" t="s">
        <v>850</v>
      </c>
      <c r="C53" s="322"/>
      <c r="D53" s="906" t="s">
        <v>850</v>
      </c>
      <c r="E53" s="719"/>
    </row>
    <row r="54" spans="2:5" ht="23.25" customHeight="1">
      <c r="B54" s="720" t="s">
        <v>190</v>
      </c>
      <c r="C54" s="322"/>
      <c r="D54" s="907" t="s">
        <v>190</v>
      </c>
      <c r="E54" s="719"/>
    </row>
    <row r="55" spans="2:5" ht="25.5" customHeight="1">
      <c r="B55" s="720" t="s">
        <v>851</v>
      </c>
      <c r="C55" s="322"/>
      <c r="D55" s="907" t="s">
        <v>851</v>
      </c>
      <c r="E55" s="719"/>
    </row>
    <row r="56" spans="2:5" s="133" customFormat="1" ht="29.25" customHeight="1">
      <c r="B56" s="720" t="s">
        <v>852</v>
      </c>
      <c r="C56" s="323"/>
      <c r="D56" s="907" t="s">
        <v>852</v>
      </c>
      <c r="E56" s="333"/>
    </row>
    <row r="57" spans="2:5" s="133" customFormat="1" ht="29.25" customHeight="1">
      <c r="B57" s="900" t="s">
        <v>853</v>
      </c>
      <c r="C57" s="323"/>
      <c r="D57" s="903" t="s">
        <v>853</v>
      </c>
      <c r="E57" s="902"/>
    </row>
    <row r="58" spans="2:5" s="133" customFormat="1" ht="29.25" customHeight="1" thickBot="1">
      <c r="B58" s="900" t="s">
        <v>854</v>
      </c>
      <c r="C58" s="901"/>
      <c r="D58" s="903" t="s">
        <v>854</v>
      </c>
      <c r="E58" s="902"/>
    </row>
    <row r="59" spans="2:5" s="133" customFormat="1" ht="34.5" customHeight="1" thickBot="1">
      <c r="B59" s="910" t="s">
        <v>145</v>
      </c>
      <c r="C59" s="911">
        <f>SUM(C53:C58)</f>
        <v>0</v>
      </c>
      <c r="D59" s="912" t="s">
        <v>145</v>
      </c>
      <c r="E59" s="913">
        <f>SUM(E53:E58)</f>
        <v>0</v>
      </c>
    </row>
    <row r="60" spans="2:3" ht="12.75">
      <c r="B60" s="327"/>
      <c r="C60" s="326"/>
    </row>
    <row r="61" ht="12.75">
      <c r="C61" s="326"/>
    </row>
    <row r="62" spans="2:5" ht="12.75">
      <c r="B62" s="1405" t="s">
        <v>158</v>
      </c>
      <c r="C62" s="1405"/>
      <c r="D62" s="1405"/>
      <c r="E62" s="1405"/>
    </row>
    <row r="63" spans="2:5" ht="12.75">
      <c r="B63" s="1405" t="s">
        <v>161</v>
      </c>
      <c r="C63" s="1405"/>
      <c r="D63" s="1405"/>
      <c r="E63" s="1405"/>
    </row>
    <row r="64" ht="12.75">
      <c r="C64" s="326"/>
    </row>
    <row r="65" ht="12.75">
      <c r="C65" s="326"/>
    </row>
    <row r="66" ht="12.75">
      <c r="C66" s="326"/>
    </row>
  </sheetData>
  <sheetProtection/>
  <mergeCells count="11"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  <mergeCell ref="B49:E49"/>
  </mergeCells>
  <printOptions horizontalCentered="1" verticalCentered="1"/>
  <pageMargins left="0.34" right="0.35433070866141736" top="1.1811023622047245" bottom="0.984251968503937" header="0.5118110236220472" footer="0.5118110236220472"/>
  <pageSetup horizontalDpi="300" verticalDpi="300" orientation="portrait" paperSize="9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9"/>
  <sheetViews>
    <sheetView zoomScalePageLayoutView="0" workbookViewId="0" topLeftCell="A1">
      <selection activeCell="D15" sqref="D15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7" width="1.8515625" style="133" customWidth="1"/>
    <col min="8" max="8" width="6.421875" style="670" hidden="1" customWidth="1"/>
    <col min="9" max="9" width="5.7109375" style="670" hidden="1" customWidth="1"/>
    <col min="10" max="10" width="4.7109375" style="670" hidden="1" customWidth="1"/>
    <col min="11" max="11" width="5.57421875" style="670" hidden="1" customWidth="1"/>
    <col min="12" max="12" width="8.28125" style="670" hidden="1" customWidth="1"/>
    <col min="13" max="13" width="21.7109375" style="670" hidden="1" customWidth="1"/>
    <col min="14" max="16" width="0" style="670" hidden="1" customWidth="1"/>
    <col min="17" max="19" width="0" style="133" hidden="1" customWidth="1"/>
    <col min="20" max="16384" width="11.57421875" style="133" customWidth="1"/>
  </cols>
  <sheetData>
    <row r="1" ht="13.5" thickBot="1"/>
    <row r="2" spans="2:6" ht="49.5" customHeight="1">
      <c r="B2" s="1209" t="s">
        <v>604</v>
      </c>
      <c r="C2" s="1210"/>
      <c r="D2" s="1210"/>
      <c r="E2" s="1210"/>
      <c r="F2" s="236">
        <f>CPYG!E2</f>
        <v>2017</v>
      </c>
    </row>
    <row r="3" spans="2:6" ht="44.25" customHeight="1">
      <c r="B3" s="1416" t="str">
        <f>CPYG!B3</f>
        <v>ENTIDAD: SPET</v>
      </c>
      <c r="C3" s="1426"/>
      <c r="D3" s="1426"/>
      <c r="E3" s="1427"/>
      <c r="F3" s="328" t="s">
        <v>204</v>
      </c>
    </row>
    <row r="4" spans="2:6" ht="24.75" customHeight="1">
      <c r="B4" s="1419" t="s">
        <v>807</v>
      </c>
      <c r="C4" s="1428"/>
      <c r="D4" s="1428"/>
      <c r="E4" s="1428"/>
      <c r="F4" s="1429"/>
    </row>
    <row r="5" spans="2:6" ht="30" customHeight="1">
      <c r="B5" s="329" t="s">
        <v>118</v>
      </c>
      <c r="C5" s="321" t="s">
        <v>119</v>
      </c>
      <c r="D5" s="727" t="s">
        <v>348</v>
      </c>
      <c r="E5" s="727" t="s">
        <v>551</v>
      </c>
      <c r="F5" s="330" t="s">
        <v>121</v>
      </c>
    </row>
    <row r="6" spans="2:16" ht="19.5" customHeight="1">
      <c r="B6" s="331" t="s">
        <v>920</v>
      </c>
      <c r="C6" s="1027" t="s">
        <v>921</v>
      </c>
      <c r="D6" s="1028">
        <v>94000</v>
      </c>
      <c r="E6" s="1028">
        <v>0</v>
      </c>
      <c r="F6" s="1029"/>
      <c r="H6" s="988" t="s">
        <v>944</v>
      </c>
      <c r="I6" s="988" t="s">
        <v>968</v>
      </c>
      <c r="J6" s="988" t="s">
        <v>975</v>
      </c>
      <c r="K6" s="988" t="s">
        <v>976</v>
      </c>
      <c r="L6" s="989"/>
      <c r="M6" s="990"/>
      <c r="N6" s="990">
        <v>100</v>
      </c>
      <c r="O6" s="990"/>
      <c r="P6" s="990" t="s">
        <v>977</v>
      </c>
    </row>
    <row r="7" spans="2:16" ht="19.5" customHeight="1">
      <c r="B7" s="714" t="s">
        <v>920</v>
      </c>
      <c r="C7" s="1027" t="s">
        <v>922</v>
      </c>
      <c r="D7" s="1028">
        <v>21000</v>
      </c>
      <c r="E7" s="1028">
        <v>0</v>
      </c>
      <c r="F7" s="1029"/>
      <c r="H7" s="988" t="s">
        <v>944</v>
      </c>
      <c r="I7" s="988" t="s">
        <v>968</v>
      </c>
      <c r="J7" s="988" t="s">
        <v>969</v>
      </c>
      <c r="K7" s="988" t="s">
        <v>976</v>
      </c>
      <c r="L7" s="988" t="s">
        <v>970</v>
      </c>
      <c r="M7" s="990" t="s">
        <v>971</v>
      </c>
      <c r="N7" s="991">
        <v>120000</v>
      </c>
      <c r="O7" s="991"/>
      <c r="P7" s="990" t="s">
        <v>978</v>
      </c>
    </row>
    <row r="8" spans="2:16" ht="19.5" customHeight="1">
      <c r="B8" s="714" t="s">
        <v>932</v>
      </c>
      <c r="C8" s="1027" t="s">
        <v>931</v>
      </c>
      <c r="D8" s="1028">
        <v>100000</v>
      </c>
      <c r="E8" s="1028">
        <v>120000</v>
      </c>
      <c r="F8" s="1029"/>
      <c r="H8" s="988" t="s">
        <v>944</v>
      </c>
      <c r="I8" s="988" t="s">
        <v>968</v>
      </c>
      <c r="J8" s="988" t="s">
        <v>969</v>
      </c>
      <c r="K8" s="988" t="s">
        <v>976</v>
      </c>
      <c r="L8" s="989"/>
      <c r="M8" s="990"/>
      <c r="N8" s="990">
        <v>100</v>
      </c>
      <c r="O8" s="990"/>
      <c r="P8" s="990" t="s">
        <v>977</v>
      </c>
    </row>
    <row r="9" spans="2:6" ht="19.5" customHeight="1">
      <c r="B9" s="714"/>
      <c r="C9" s="715"/>
      <c r="D9" s="715"/>
      <c r="E9" s="716"/>
      <c r="F9" s="717"/>
    </row>
    <row r="10" spans="2:6" ht="19.5" customHeight="1">
      <c r="B10" s="331"/>
      <c r="C10" s="335"/>
      <c r="D10" s="335"/>
      <c r="E10" s="705"/>
      <c r="F10" s="333"/>
    </row>
    <row r="11" spans="2:6" ht="19.5" customHeight="1">
      <c r="B11" s="331"/>
      <c r="C11" s="335"/>
      <c r="D11" s="335"/>
      <c r="E11" s="705"/>
      <c r="F11" s="333"/>
    </row>
    <row r="12" spans="2:6" ht="19.5" customHeight="1">
      <c r="B12" s="331"/>
      <c r="C12" s="335"/>
      <c r="D12" s="335"/>
      <c r="E12" s="705"/>
      <c r="F12" s="333"/>
    </row>
    <row r="13" spans="2:6" ht="19.5" customHeight="1">
      <c r="B13" s="331"/>
      <c r="C13" s="335"/>
      <c r="D13" s="335"/>
      <c r="E13" s="705"/>
      <c r="F13" s="333"/>
    </row>
    <row r="14" spans="2:6" ht="19.5" customHeight="1">
      <c r="B14" s="331"/>
      <c r="C14" s="335"/>
      <c r="D14" s="335"/>
      <c r="E14" s="705"/>
      <c r="F14" s="333"/>
    </row>
    <row r="15" spans="2:6" ht="19.5" customHeight="1">
      <c r="B15" s="331"/>
      <c r="C15" s="334"/>
      <c r="D15" s="334"/>
      <c r="E15" s="335"/>
      <c r="F15" s="333"/>
    </row>
    <row r="16" spans="2:6" ht="19.5" customHeight="1">
      <c r="B16" s="331"/>
      <c r="C16" s="323"/>
      <c r="D16" s="726"/>
      <c r="E16" s="332"/>
      <c r="F16" s="333"/>
    </row>
    <row r="17" spans="2:6" ht="19.5" customHeight="1">
      <c r="B17" s="331"/>
      <c r="C17" s="323"/>
      <c r="D17" s="726"/>
      <c r="E17" s="332"/>
      <c r="F17" s="333"/>
    </row>
    <row r="18" spans="2:6" ht="19.5" customHeight="1">
      <c r="B18" s="331"/>
      <c r="C18" s="323"/>
      <c r="D18" s="726"/>
      <c r="E18" s="332"/>
      <c r="F18" s="333"/>
    </row>
    <row r="19" spans="2:6" ht="19.5" customHeight="1">
      <c r="B19" s="331"/>
      <c r="C19" s="323"/>
      <c r="D19" s="726"/>
      <c r="E19" s="332"/>
      <c r="F19" s="333"/>
    </row>
    <row r="20" spans="2:6" ht="19.5" customHeight="1">
      <c r="B20" s="331"/>
      <c r="C20" s="323"/>
      <c r="D20" s="726"/>
      <c r="E20" s="332"/>
      <c r="F20" s="333"/>
    </row>
    <row r="21" spans="2:6" ht="19.5" customHeight="1">
      <c r="B21" s="331"/>
      <c r="C21" s="323"/>
      <c r="D21" s="726"/>
      <c r="E21" s="332"/>
      <c r="F21" s="333"/>
    </row>
    <row r="22" spans="2:6" ht="19.5" customHeight="1">
      <c r="B22" s="331"/>
      <c r="C22" s="323"/>
      <c r="D22" s="726"/>
      <c r="E22" s="332"/>
      <c r="F22" s="333"/>
    </row>
    <row r="23" spans="2:6" ht="23.25" customHeight="1" thickBot="1">
      <c r="B23" s="336"/>
      <c r="C23" s="337"/>
      <c r="D23" s="337"/>
      <c r="E23" s="653">
        <f>SUM(E6:E22)</f>
        <v>120000</v>
      </c>
      <c r="F23" s="317"/>
    </row>
    <row r="24" spans="3:4" ht="12.75">
      <c r="C24" s="663"/>
      <c r="D24" s="663"/>
    </row>
    <row r="25" spans="3:4" ht="12.75">
      <c r="C25" s="663"/>
      <c r="D25" s="663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63"/>
      <c r="D28" s="663"/>
      <c r="E28" s="169"/>
      <c r="F28" s="169"/>
    </row>
    <row r="29" spans="3:6" ht="12.75">
      <c r="C29" s="663"/>
      <c r="D29" s="663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706"/>
      <c r="D32" s="706"/>
      <c r="E32" s="707"/>
      <c r="F32" s="707"/>
    </row>
    <row r="33" spans="3:6" ht="12.75">
      <c r="C33" s="663"/>
      <c r="D33" s="663"/>
      <c r="E33" s="169"/>
      <c r="F33" s="169"/>
    </row>
    <row r="34" spans="3:4" ht="12.75">
      <c r="C34" s="663"/>
      <c r="D34" s="663"/>
    </row>
    <row r="35" spans="3:6" ht="12.75">
      <c r="C35" s="706"/>
      <c r="D35" s="706"/>
      <c r="E35" s="707"/>
      <c r="F35" s="707"/>
    </row>
    <row r="36" spans="3:6" ht="12.75">
      <c r="C36" s="706"/>
      <c r="D36" s="706"/>
      <c r="E36" s="707"/>
      <c r="F36" s="707"/>
    </row>
    <row r="37" spans="3:4" ht="12.75">
      <c r="C37" s="663"/>
      <c r="D37" s="663"/>
    </row>
    <row r="38" spans="3:4" ht="12.75">
      <c r="C38" s="663"/>
      <c r="D38" s="663"/>
    </row>
    <row r="39" spans="3:4" ht="12.75">
      <c r="C39" s="663"/>
      <c r="D39" s="663"/>
    </row>
    <row r="40" spans="3:4" ht="12.75">
      <c r="C40" s="663"/>
      <c r="D40" s="663"/>
    </row>
    <row r="41" spans="3:4" ht="12.75">
      <c r="C41" s="663"/>
      <c r="D41" s="663"/>
    </row>
    <row r="42" spans="3:4" ht="12.75">
      <c r="C42" s="663"/>
      <c r="D42" s="663"/>
    </row>
    <row r="43" spans="3:4" ht="12.75">
      <c r="C43" s="663"/>
      <c r="D43" s="663"/>
    </row>
    <row r="44" spans="3:4" ht="12.75">
      <c r="C44" s="663"/>
      <c r="D44" s="663"/>
    </row>
    <row r="45" spans="3:4" ht="12.75">
      <c r="C45" s="663"/>
      <c r="D45" s="663"/>
    </row>
    <row r="46" spans="3:4" ht="12.75">
      <c r="C46" s="663"/>
      <c r="D46" s="663"/>
    </row>
    <row r="47" spans="3:4" ht="12.75">
      <c r="C47" s="663"/>
      <c r="D47" s="663"/>
    </row>
    <row r="48" spans="3:4" ht="12.75">
      <c r="C48" s="663"/>
      <c r="D48" s="663"/>
    </row>
    <row r="49" spans="3:4" ht="12.75">
      <c r="C49" s="663"/>
      <c r="D49" s="663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B2:F29"/>
  <sheetViews>
    <sheetView zoomScalePageLayoutView="0" workbookViewId="0" topLeftCell="A1">
      <selection activeCell="D29" sqref="D29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441" t="s">
        <v>578</v>
      </c>
      <c r="C2" s="1442"/>
      <c r="D2" s="1442"/>
      <c r="E2" s="1442"/>
      <c r="F2" s="831">
        <v>2017</v>
      </c>
    </row>
    <row r="3" spans="2:6" ht="36" customHeight="1" thickBot="1">
      <c r="B3" s="1443" t="s">
        <v>552</v>
      </c>
      <c r="C3" s="1444"/>
      <c r="D3" s="1444"/>
      <c r="E3" s="1444"/>
      <c r="F3" s="832" t="s">
        <v>553</v>
      </c>
    </row>
    <row r="4" spans="2:6" ht="57" customHeight="1" thickBot="1">
      <c r="B4" s="1439" t="s">
        <v>613</v>
      </c>
      <c r="C4" s="1440"/>
      <c r="D4" s="219" t="s">
        <v>554</v>
      </c>
      <c r="E4" s="1445" t="s">
        <v>589</v>
      </c>
      <c r="F4" s="1446"/>
    </row>
    <row r="5" spans="2:6" ht="19.5" customHeight="1">
      <c r="B5" s="833" t="s">
        <v>555</v>
      </c>
      <c r="C5" s="502"/>
      <c r="D5" s="834">
        <f>SUM(D6:D14)</f>
        <v>14385478.03</v>
      </c>
      <c r="E5" s="1437"/>
      <c r="F5" s="1438"/>
    </row>
    <row r="6" spans="2:6" ht="15" customHeight="1">
      <c r="B6" s="231"/>
      <c r="C6" s="835" t="s">
        <v>556</v>
      </c>
      <c r="D6" s="973">
        <v>1439929.24</v>
      </c>
      <c r="E6" s="1434"/>
      <c r="F6" s="1371"/>
    </row>
    <row r="7" spans="2:6" ht="15" customHeight="1">
      <c r="B7" s="231"/>
      <c r="C7" s="835" t="s">
        <v>557</v>
      </c>
      <c r="D7" s="973"/>
      <c r="E7" s="1434"/>
      <c r="F7" s="1371"/>
    </row>
    <row r="8" spans="2:6" ht="15" customHeight="1">
      <c r="B8" s="231"/>
      <c r="C8" s="835" t="s">
        <v>558</v>
      </c>
      <c r="D8" s="973"/>
      <c r="E8" s="1434"/>
      <c r="F8" s="1371"/>
    </row>
    <row r="9" spans="2:6" ht="15" customHeight="1">
      <c r="B9" s="231"/>
      <c r="C9" s="835" t="s">
        <v>559</v>
      </c>
      <c r="D9" s="973">
        <v>10886352.78</v>
      </c>
      <c r="E9" s="1434"/>
      <c r="F9" s="1371"/>
    </row>
    <row r="10" spans="2:6" ht="15" customHeight="1">
      <c r="B10" s="231"/>
      <c r="C10" s="835" t="s">
        <v>560</v>
      </c>
      <c r="D10" s="973">
        <v>3000</v>
      </c>
      <c r="E10" s="1434"/>
      <c r="F10" s="1371"/>
    </row>
    <row r="11" spans="2:6" ht="15" customHeight="1">
      <c r="B11" s="231"/>
      <c r="C11" s="835" t="s">
        <v>561</v>
      </c>
      <c r="D11" s="973"/>
      <c r="E11" s="1434"/>
      <c r="F11" s="1371"/>
    </row>
    <row r="12" spans="2:6" ht="15" customHeight="1">
      <c r="B12" s="231"/>
      <c r="C12" s="835" t="s">
        <v>678</v>
      </c>
      <c r="D12" s="973"/>
      <c r="E12" s="1434"/>
      <c r="F12" s="1371"/>
    </row>
    <row r="13" spans="2:6" ht="15" customHeight="1">
      <c r="B13" s="231"/>
      <c r="C13" s="835" t="s">
        <v>562</v>
      </c>
      <c r="D13" s="973">
        <v>2056196.01</v>
      </c>
      <c r="E13" s="1434"/>
      <c r="F13" s="1371"/>
    </row>
    <row r="14" spans="2:6" ht="15" customHeight="1">
      <c r="B14" s="231"/>
      <c r="C14" s="835" t="s">
        <v>563</v>
      </c>
      <c r="D14" s="824"/>
      <c r="E14" s="1434"/>
      <c r="F14" s="1371"/>
    </row>
    <row r="15" spans="2:6" ht="3" customHeight="1">
      <c r="B15" s="231"/>
      <c r="C15" s="835"/>
      <c r="D15" s="824"/>
      <c r="E15" s="1434"/>
      <c r="F15" s="1371"/>
    </row>
    <row r="16" spans="2:6" ht="19.5" customHeight="1">
      <c r="B16" s="820" t="s">
        <v>564</v>
      </c>
      <c r="C16" s="835"/>
      <c r="D16" s="836">
        <f>SUM(D17:D28)</f>
        <v>-14223962.79</v>
      </c>
      <c r="E16" s="1434"/>
      <c r="F16" s="1371"/>
    </row>
    <row r="17" spans="2:6" ht="15" customHeight="1">
      <c r="B17" s="231"/>
      <c r="C17" s="835" t="s">
        <v>565</v>
      </c>
      <c r="D17" s="824"/>
      <c r="E17" s="1434"/>
      <c r="F17" s="1371"/>
    </row>
    <row r="18" spans="2:6" ht="15" customHeight="1">
      <c r="B18" s="231"/>
      <c r="C18" s="835" t="s">
        <v>566</v>
      </c>
      <c r="D18" s="824">
        <v>-1977829.09</v>
      </c>
      <c r="E18" s="1434"/>
      <c r="F18" s="1371"/>
    </row>
    <row r="19" spans="2:6" ht="15" customHeight="1">
      <c r="B19" s="231"/>
      <c r="C19" s="835" t="s">
        <v>567</v>
      </c>
      <c r="D19" s="824">
        <v>-12237133.7</v>
      </c>
      <c r="E19" s="1434"/>
      <c r="F19" s="1371"/>
    </row>
    <row r="20" spans="2:6" ht="15" customHeight="1">
      <c r="B20" s="231"/>
      <c r="C20" s="835" t="s">
        <v>568</v>
      </c>
      <c r="D20" s="824">
        <v>-3000</v>
      </c>
      <c r="E20" s="1434"/>
      <c r="F20" s="1371"/>
    </row>
    <row r="21" spans="2:6" ht="15" customHeight="1">
      <c r="B21" s="231"/>
      <c r="C21" s="835" t="s">
        <v>569</v>
      </c>
      <c r="D21" s="824"/>
      <c r="E21" s="1434"/>
      <c r="F21" s="1371"/>
    </row>
    <row r="22" spans="2:6" ht="15" customHeight="1">
      <c r="B22" s="231"/>
      <c r="C22" s="835" t="s">
        <v>570</v>
      </c>
      <c r="D22" s="824">
        <v>-6000</v>
      </c>
      <c r="E22" s="1434"/>
      <c r="F22" s="1371"/>
    </row>
    <row r="23" spans="2:6" ht="15" customHeight="1">
      <c r="B23" s="231"/>
      <c r="C23" s="835" t="s">
        <v>571</v>
      </c>
      <c r="D23" s="824"/>
      <c r="E23" s="1434"/>
      <c r="F23" s="1371"/>
    </row>
    <row r="24" spans="2:6" ht="15" customHeight="1">
      <c r="B24" s="231"/>
      <c r="C24" s="835" t="s">
        <v>572</v>
      </c>
      <c r="D24" s="824"/>
      <c r="E24" s="1434"/>
      <c r="F24" s="1371"/>
    </row>
    <row r="25" spans="2:6" ht="15" customHeight="1">
      <c r="B25" s="231"/>
      <c r="C25" s="835" t="s">
        <v>577</v>
      </c>
      <c r="D25" s="824"/>
      <c r="E25" s="1434"/>
      <c r="F25" s="1371"/>
    </row>
    <row r="26" spans="2:6" ht="15" customHeight="1">
      <c r="B26" s="231"/>
      <c r="C26" s="835" t="s">
        <v>573</v>
      </c>
      <c r="D26" s="824"/>
      <c r="E26" s="1434"/>
      <c r="F26" s="1371"/>
    </row>
    <row r="27" spans="2:6" ht="15" customHeight="1">
      <c r="B27" s="231"/>
      <c r="C27" s="835" t="s">
        <v>574</v>
      </c>
      <c r="D27" s="824"/>
      <c r="E27" s="1434"/>
      <c r="F27" s="1371"/>
    </row>
    <row r="28" spans="2:6" ht="15" customHeight="1">
      <c r="B28" s="837"/>
      <c r="C28" s="838" t="s">
        <v>575</v>
      </c>
      <c r="D28" s="839"/>
      <c r="E28" s="1435"/>
      <c r="F28" s="1436"/>
    </row>
    <row r="29" spans="2:6" ht="22.5" customHeight="1" thickBot="1">
      <c r="B29" s="1430" t="s">
        <v>576</v>
      </c>
      <c r="C29" s="1431"/>
      <c r="D29" s="840">
        <f>+D5+D16</f>
        <v>161515.24000000022</v>
      </c>
      <c r="E29" s="1432"/>
      <c r="F29" s="1433"/>
    </row>
  </sheetData>
  <sheetProtection/>
  <mergeCells count="30">
    <mergeCell ref="E5:F5"/>
    <mergeCell ref="E6:F6"/>
    <mergeCell ref="E7:F7"/>
    <mergeCell ref="E8:F8"/>
    <mergeCell ref="B4:C4"/>
    <mergeCell ref="B2:E2"/>
    <mergeCell ref="B3:E3"/>
    <mergeCell ref="E4:F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102"/>
  <sheetViews>
    <sheetView zoomScalePageLayoutView="0" workbookViewId="0" topLeftCell="A19">
      <selection activeCell="D29" sqref="D29"/>
    </sheetView>
  </sheetViews>
  <sheetFormatPr defaultColWidth="11.57421875" defaultRowHeight="12.75"/>
  <cols>
    <col min="1" max="1" width="4.00390625" style="238" customWidth="1"/>
    <col min="2" max="2" width="60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.57421875" style="238" customWidth="1"/>
    <col min="11" max="11" width="6.57421875" style="238" customWidth="1"/>
    <col min="12" max="12" width="5.7109375" style="239" customWidth="1"/>
    <col min="13" max="13" width="5.140625" style="239" customWidth="1"/>
    <col min="14" max="14" width="6.140625" style="239" customWidth="1"/>
    <col min="15" max="15" width="11.57421875" style="240" customWidth="1"/>
    <col min="16" max="16" width="14.140625" style="238" bestFit="1" customWidth="1"/>
    <col min="17" max="16384" width="11.57421875" style="238" customWidth="1"/>
  </cols>
  <sheetData>
    <row r="1" spans="2:10" ht="13.5" thickBot="1">
      <c r="B1" s="659"/>
      <c r="I1" s="660"/>
      <c r="J1" s="660"/>
    </row>
    <row r="2" spans="2:10" ht="46.5" customHeight="1">
      <c r="B2" s="1459" t="s">
        <v>215</v>
      </c>
      <c r="C2" s="1460"/>
      <c r="D2" s="1460"/>
      <c r="E2" s="1460"/>
      <c r="F2" s="1460"/>
      <c r="G2" s="1452">
        <f>CPYG!E2</f>
        <v>2017</v>
      </c>
      <c r="H2" s="1452"/>
      <c r="I2" s="1453"/>
      <c r="J2" s="981"/>
    </row>
    <row r="3" spans="2:10" ht="30" customHeight="1" thickBot="1">
      <c r="B3" s="1457" t="str">
        <f>CPYG!B3</f>
        <v>ENTIDAD: SPET</v>
      </c>
      <c r="C3" s="1458"/>
      <c r="D3" s="1458"/>
      <c r="E3" s="1458"/>
      <c r="F3" s="1458"/>
      <c r="G3" s="1454" t="s">
        <v>197</v>
      </c>
      <c r="H3" s="1455"/>
      <c r="I3" s="1456"/>
      <c r="J3" s="982"/>
    </row>
    <row r="4" spans="2:10" ht="24.75" customHeight="1" thickBot="1">
      <c r="B4" s="1448" t="s">
        <v>597</v>
      </c>
      <c r="C4" s="1449"/>
      <c r="D4" s="1449"/>
      <c r="E4" s="1449"/>
      <c r="F4" s="1449"/>
      <c r="G4" s="1449"/>
      <c r="H4" s="1449"/>
      <c r="I4" s="1450"/>
      <c r="J4" s="975"/>
    </row>
    <row r="5" spans="2:16" ht="19.5" customHeight="1" thickBot="1">
      <c r="B5" s="616" t="s">
        <v>596</v>
      </c>
      <c r="C5" s="617"/>
      <c r="D5" s="618" t="s">
        <v>590</v>
      </c>
      <c r="E5" s="618">
        <v>2016</v>
      </c>
      <c r="F5" s="618">
        <v>2017</v>
      </c>
      <c r="G5" s="618" t="s">
        <v>146</v>
      </c>
      <c r="H5" s="618" t="s">
        <v>627</v>
      </c>
      <c r="I5" s="619" t="s">
        <v>626</v>
      </c>
      <c r="J5" s="983"/>
      <c r="P5" s="240"/>
    </row>
    <row r="6" spans="2:16" ht="19.5" customHeight="1" thickBot="1">
      <c r="B6" s="620" t="s">
        <v>591</v>
      </c>
      <c r="C6" s="621"/>
      <c r="D6" s="622"/>
      <c r="E6" s="623">
        <f>PASIVO!C27</f>
        <v>144605.51</v>
      </c>
      <c r="F6" s="624">
        <f>+E19</f>
        <v>138765.02000000002</v>
      </c>
      <c r="G6" s="625"/>
      <c r="H6" s="626"/>
      <c r="I6" s="627"/>
      <c r="J6" s="984"/>
      <c r="P6" s="240"/>
    </row>
    <row r="7" spans="2:16" ht="19.5" customHeight="1">
      <c r="B7" s="645"/>
      <c r="C7" s="646"/>
      <c r="D7" s="241"/>
      <c r="E7" s="242"/>
      <c r="F7" s="242"/>
      <c r="G7" s="243"/>
      <c r="H7" s="243"/>
      <c r="I7" s="244"/>
      <c r="J7" s="985"/>
      <c r="P7" s="240"/>
    </row>
    <row r="8" spans="2:16" ht="19.5" customHeight="1">
      <c r="B8" s="647"/>
      <c r="C8" s="646"/>
      <c r="D8" s="241"/>
      <c r="E8" s="245"/>
      <c r="F8" s="245"/>
      <c r="G8" s="246"/>
      <c r="H8" s="246"/>
      <c r="I8" s="247"/>
      <c r="J8" s="986"/>
      <c r="P8" s="240"/>
    </row>
    <row r="9" spans="2:16" ht="19.5" customHeight="1">
      <c r="B9" s="647"/>
      <c r="C9" s="646"/>
      <c r="D9" s="241"/>
      <c r="E9" s="245"/>
      <c r="F9" s="245"/>
      <c r="G9" s="248"/>
      <c r="H9" s="248"/>
      <c r="I9" s="249"/>
      <c r="J9" s="985"/>
      <c r="P9" s="240"/>
    </row>
    <row r="10" spans="2:16" ht="19.5" customHeight="1">
      <c r="B10" s="686"/>
      <c r="C10" s="687"/>
      <c r="D10" s="688"/>
      <c r="E10" s="689"/>
      <c r="F10" s="689"/>
      <c r="G10" s="708"/>
      <c r="H10" s="708"/>
      <c r="I10" s="709"/>
      <c r="J10" s="987"/>
      <c r="P10" s="240"/>
    </row>
    <row r="11" spans="2:16" ht="19.5" customHeight="1">
      <c r="B11" s="647"/>
      <c r="C11" s="646"/>
      <c r="D11" s="241"/>
      <c r="E11" s="245"/>
      <c r="F11" s="245"/>
      <c r="G11" s="248"/>
      <c r="H11" s="248"/>
      <c r="I11" s="249"/>
      <c r="J11" s="985"/>
      <c r="P11" s="240"/>
    </row>
    <row r="12" spans="2:16" ht="19.5" customHeight="1">
      <c r="B12" s="647"/>
      <c r="C12" s="646"/>
      <c r="D12" s="241"/>
      <c r="E12" s="245"/>
      <c r="F12" s="245"/>
      <c r="G12" s="248"/>
      <c r="H12" s="248"/>
      <c r="I12" s="249"/>
      <c r="J12" s="985"/>
      <c r="P12" s="240"/>
    </row>
    <row r="13" spans="2:16" ht="19.5" customHeight="1">
      <c r="B13" s="647"/>
      <c r="C13" s="646"/>
      <c r="D13" s="241"/>
      <c r="E13" s="245"/>
      <c r="F13" s="245"/>
      <c r="G13" s="248"/>
      <c r="H13" s="248"/>
      <c r="I13" s="249"/>
      <c r="J13" s="985"/>
      <c r="P13" s="240"/>
    </row>
    <row r="14" spans="2:16" ht="19.5" customHeight="1" thickBot="1">
      <c r="B14" s="648"/>
      <c r="C14" s="649"/>
      <c r="D14" s="340"/>
      <c r="E14" s="341"/>
      <c r="F14" s="341"/>
      <c r="G14" s="252"/>
      <c r="H14" s="252"/>
      <c r="I14" s="253"/>
      <c r="J14" s="985"/>
      <c r="P14" s="240"/>
    </row>
    <row r="15" spans="2:16" ht="19.5" customHeight="1" thickBot="1">
      <c r="B15" s="630" t="s">
        <v>599</v>
      </c>
      <c r="C15" s="631"/>
      <c r="D15" s="632"/>
      <c r="E15" s="710">
        <f>SUM(E7:E14)</f>
        <v>0</v>
      </c>
      <c r="F15" s="711">
        <f>SUM(F7:F14)</f>
        <v>0</v>
      </c>
      <c r="G15" s="661"/>
      <c r="H15" s="661"/>
      <c r="I15" s="661"/>
      <c r="J15" s="661"/>
      <c r="P15" s="240"/>
    </row>
    <row r="16" spans="2:16" ht="19.5" customHeight="1">
      <c r="B16" s="633" t="s">
        <v>592</v>
      </c>
      <c r="C16" s="628"/>
      <c r="D16" s="602"/>
      <c r="E16" s="662"/>
      <c r="F16" s="342"/>
      <c r="G16" s="661"/>
      <c r="H16" s="661"/>
      <c r="I16" s="661"/>
      <c r="J16" s="661"/>
      <c r="P16" s="240"/>
    </row>
    <row r="17" spans="2:16" ht="19.5" customHeight="1">
      <c r="B17" s="629" t="s">
        <v>593</v>
      </c>
      <c r="C17" s="628"/>
      <c r="D17" s="254"/>
      <c r="E17" s="255">
        <f>-CPYG!D46</f>
        <v>-5840.49</v>
      </c>
      <c r="F17" s="343">
        <f>-CPYG!E46</f>
        <v>-5824.53</v>
      </c>
      <c r="G17" s="661"/>
      <c r="H17" s="661"/>
      <c r="I17" s="661"/>
      <c r="J17" s="661"/>
      <c r="K17" s="239"/>
      <c r="P17" s="240"/>
    </row>
    <row r="18" spans="2:16" ht="19.5" customHeight="1" thickBot="1">
      <c r="B18" s="629" t="s">
        <v>594</v>
      </c>
      <c r="C18" s="634"/>
      <c r="D18" s="256"/>
      <c r="E18" s="257"/>
      <c r="F18" s="344"/>
      <c r="G18" s="661"/>
      <c r="H18" s="661"/>
      <c r="I18" s="661"/>
      <c r="J18" s="661"/>
      <c r="P18" s="240"/>
    </row>
    <row r="19" spans="2:16" ht="19.5" customHeight="1" thickBot="1" thickTop="1">
      <c r="B19" s="635" t="s">
        <v>595</v>
      </c>
      <c r="C19" s="636"/>
      <c r="D19" s="637"/>
      <c r="E19" s="712">
        <f>E6+E15+E16+E17+E18</f>
        <v>138765.02000000002</v>
      </c>
      <c r="F19" s="712">
        <f>F6+F15+F16+F17+F18</f>
        <v>132940.49000000002</v>
      </c>
      <c r="G19" s="661"/>
      <c r="H19" s="661"/>
      <c r="I19" s="661"/>
      <c r="J19" s="661"/>
      <c r="K19" s="690"/>
      <c r="P19" s="240"/>
    </row>
    <row r="20" spans="2:10" s="133" customFormat="1" ht="19.5" customHeight="1">
      <c r="B20" s="661"/>
      <c r="C20" s="661"/>
      <c r="D20" s="661"/>
      <c r="E20" s="661"/>
      <c r="F20" s="661"/>
      <c r="G20" s="661"/>
      <c r="H20" s="661"/>
      <c r="I20" s="661"/>
      <c r="J20" s="661"/>
    </row>
    <row r="21" spans="2:10" s="133" customFormat="1" ht="19.5" customHeight="1" thickBot="1">
      <c r="B21" s="661"/>
      <c r="C21" s="661"/>
      <c r="D21" s="661"/>
      <c r="E21" s="661"/>
      <c r="F21" s="1023"/>
      <c r="G21" s="661"/>
      <c r="H21" s="661"/>
      <c r="I21" s="661"/>
      <c r="J21" s="661"/>
    </row>
    <row r="22" spans="2:10" s="133" customFormat="1" ht="19.5" customHeight="1" thickBot="1">
      <c r="B22" s="616" t="s">
        <v>140</v>
      </c>
      <c r="C22" s="617"/>
      <c r="D22" s="618" t="s">
        <v>590</v>
      </c>
      <c r="E22" s="618">
        <v>2016</v>
      </c>
      <c r="F22" s="618">
        <v>2017</v>
      </c>
      <c r="G22" s="618" t="s">
        <v>146</v>
      </c>
      <c r="H22" s="618" t="s">
        <v>627</v>
      </c>
      <c r="I22" s="619" t="s">
        <v>626</v>
      </c>
      <c r="J22" s="983"/>
    </row>
    <row r="23" spans="2:10" s="133" customFormat="1" ht="19.5" customHeight="1" thickBot="1">
      <c r="B23" s="616" t="s">
        <v>335</v>
      </c>
      <c r="C23" s="617"/>
      <c r="D23" s="638"/>
      <c r="E23" s="639"/>
      <c r="F23" s="639"/>
      <c r="G23" s="638"/>
      <c r="H23" s="638"/>
      <c r="I23" s="640"/>
      <c r="J23" s="984"/>
    </row>
    <row r="24" spans="2:17" s="133" customFormat="1" ht="19.5" customHeight="1">
      <c r="B24" s="645" t="s">
        <v>859</v>
      </c>
      <c r="C24" s="646"/>
      <c r="D24" s="241" t="s">
        <v>607</v>
      </c>
      <c r="E24" s="242">
        <v>200000</v>
      </c>
      <c r="F24" s="1006">
        <v>200000</v>
      </c>
      <c r="G24" s="1003">
        <v>911</v>
      </c>
      <c r="H24" s="1003">
        <v>4391</v>
      </c>
      <c r="I24" s="1004">
        <v>44933</v>
      </c>
      <c r="J24" s="914"/>
      <c r="K24" s="977" t="s">
        <v>944</v>
      </c>
      <c r="L24" s="977" t="s">
        <v>945</v>
      </c>
      <c r="M24" s="977" t="s">
        <v>946</v>
      </c>
      <c r="N24" s="977" t="s">
        <v>947</v>
      </c>
      <c r="O24" s="977" t="s">
        <v>952</v>
      </c>
      <c r="P24" s="998">
        <v>21000</v>
      </c>
      <c r="Q24" s="979" t="s">
        <v>953</v>
      </c>
    </row>
    <row r="25" spans="2:17" s="133" customFormat="1" ht="19.5" customHeight="1">
      <c r="B25" s="647" t="s">
        <v>860</v>
      </c>
      <c r="C25" s="646"/>
      <c r="D25" s="664" t="s">
        <v>607</v>
      </c>
      <c r="E25" s="242">
        <v>4199114.48</v>
      </c>
      <c r="F25" s="1006">
        <v>0</v>
      </c>
      <c r="G25" s="1003"/>
      <c r="H25" s="1003"/>
      <c r="I25" s="1004"/>
      <c r="J25" s="914"/>
      <c r="K25" s="977" t="s">
        <v>944</v>
      </c>
      <c r="L25" s="977" t="s">
        <v>945</v>
      </c>
      <c r="M25" s="977" t="s">
        <v>946</v>
      </c>
      <c r="N25" s="977" t="s">
        <v>947</v>
      </c>
      <c r="O25" s="977" t="s">
        <v>954</v>
      </c>
      <c r="P25" s="998">
        <v>307000</v>
      </c>
      <c r="Q25" s="979" t="s">
        <v>955</v>
      </c>
    </row>
    <row r="26" spans="2:17" s="133" customFormat="1" ht="19.5" customHeight="1">
      <c r="B26" s="647" t="s">
        <v>909</v>
      </c>
      <c r="C26" s="646"/>
      <c r="D26" s="664" t="s">
        <v>607</v>
      </c>
      <c r="E26" s="242">
        <v>0</v>
      </c>
      <c r="F26" s="1006">
        <f>3797390.48+21000-21000</f>
        <v>3797390.48</v>
      </c>
      <c r="G26" s="1003">
        <v>911</v>
      </c>
      <c r="H26" s="1003">
        <v>4322</v>
      </c>
      <c r="I26" s="1004">
        <v>44933</v>
      </c>
      <c r="J26" s="914"/>
      <c r="K26" s="977" t="s">
        <v>944</v>
      </c>
      <c r="L26" s="977" t="s">
        <v>945</v>
      </c>
      <c r="M26" s="977" t="s">
        <v>946</v>
      </c>
      <c r="N26" s="977" t="s">
        <v>947</v>
      </c>
      <c r="O26" s="977" t="s">
        <v>956</v>
      </c>
      <c r="P26" s="998">
        <v>171387.3</v>
      </c>
      <c r="Q26" s="979" t="s">
        <v>957</v>
      </c>
    </row>
    <row r="27" spans="2:17" s="133" customFormat="1" ht="19.5" customHeight="1">
      <c r="B27" s="647" t="s">
        <v>861</v>
      </c>
      <c r="C27" s="646"/>
      <c r="D27" s="664" t="s">
        <v>607</v>
      </c>
      <c r="E27" s="242">
        <v>3208000</v>
      </c>
      <c r="F27" s="1006">
        <f>3208000+307000</f>
        <v>3515000</v>
      </c>
      <c r="G27" s="1003">
        <v>911</v>
      </c>
      <c r="H27" s="1003">
        <v>4322</v>
      </c>
      <c r="I27" s="1004">
        <v>44933</v>
      </c>
      <c r="J27" s="914"/>
      <c r="K27" s="977" t="s">
        <v>944</v>
      </c>
      <c r="L27" s="977" t="s">
        <v>945</v>
      </c>
      <c r="M27" s="977" t="s">
        <v>946</v>
      </c>
      <c r="N27" s="977" t="s">
        <v>947</v>
      </c>
      <c r="O27" s="977" t="s">
        <v>958</v>
      </c>
      <c r="P27" s="998">
        <v>98000</v>
      </c>
      <c r="Q27" s="979" t="s">
        <v>959</v>
      </c>
    </row>
    <row r="28" spans="2:17" s="133" customFormat="1" ht="19.5" customHeight="1">
      <c r="B28" s="647" t="s">
        <v>862</v>
      </c>
      <c r="C28" s="646"/>
      <c r="D28" s="664" t="s">
        <v>607</v>
      </c>
      <c r="E28" s="242">
        <v>1470000</v>
      </c>
      <c r="F28" s="1006">
        <v>0</v>
      </c>
      <c r="G28" s="1003"/>
      <c r="H28" s="1003"/>
      <c r="I28" s="1004"/>
      <c r="J28" s="914"/>
      <c r="K28" s="977" t="s">
        <v>944</v>
      </c>
      <c r="L28" s="977" t="s">
        <v>945</v>
      </c>
      <c r="M28" s="977" t="s">
        <v>946</v>
      </c>
      <c r="N28" s="977" t="s">
        <v>947</v>
      </c>
      <c r="O28" s="977" t="s">
        <v>960</v>
      </c>
      <c r="P28" s="998">
        <v>400000</v>
      </c>
      <c r="Q28" s="979" t="s">
        <v>961</v>
      </c>
    </row>
    <row r="29" spans="2:17" s="133" customFormat="1" ht="19.5" customHeight="1">
      <c r="B29" s="647" t="s">
        <v>908</v>
      </c>
      <c r="C29" s="646"/>
      <c r="D29" s="241" t="s">
        <v>607</v>
      </c>
      <c r="E29" s="242">
        <v>171387.3</v>
      </c>
      <c r="F29" s="1006">
        <v>171387.3</v>
      </c>
      <c r="G29" s="1003">
        <v>911</v>
      </c>
      <c r="H29" s="1003">
        <v>4322</v>
      </c>
      <c r="I29" s="1004">
        <v>44933</v>
      </c>
      <c r="J29" s="914"/>
      <c r="K29" s="977" t="s">
        <v>944</v>
      </c>
      <c r="L29" s="977" t="s">
        <v>945</v>
      </c>
      <c r="M29" s="977" t="s">
        <v>946</v>
      </c>
      <c r="N29" s="977" t="s">
        <v>947</v>
      </c>
      <c r="O29" s="977" t="s">
        <v>962</v>
      </c>
      <c r="P29" s="998">
        <v>165500</v>
      </c>
      <c r="Q29" s="979" t="s">
        <v>963</v>
      </c>
    </row>
    <row r="30" spans="2:17" s="133" customFormat="1" ht="19.5" customHeight="1">
      <c r="B30" s="647" t="s">
        <v>863</v>
      </c>
      <c r="C30" s="646"/>
      <c r="D30" s="241" t="s">
        <v>607</v>
      </c>
      <c r="E30" s="242">
        <v>98000</v>
      </c>
      <c r="F30" s="1006">
        <v>98000</v>
      </c>
      <c r="G30" s="1003">
        <v>911</v>
      </c>
      <c r="H30" s="1003">
        <v>4322</v>
      </c>
      <c r="I30" s="1004">
        <v>44933</v>
      </c>
      <c r="J30" s="914"/>
      <c r="K30" s="977" t="s">
        <v>944</v>
      </c>
      <c r="L30" s="977" t="s">
        <v>945</v>
      </c>
      <c r="M30" s="977" t="s">
        <v>946</v>
      </c>
      <c r="N30" s="977" t="s">
        <v>947</v>
      </c>
      <c r="O30" s="977" t="s">
        <v>964</v>
      </c>
      <c r="P30" s="998">
        <v>2046724</v>
      </c>
      <c r="Q30" s="979" t="s">
        <v>965</v>
      </c>
    </row>
    <row r="31" spans="2:17" s="133" customFormat="1" ht="19.5" customHeight="1">
      <c r="B31" s="647" t="s">
        <v>864</v>
      </c>
      <c r="C31" s="646"/>
      <c r="D31" s="241" t="s">
        <v>607</v>
      </c>
      <c r="E31" s="242">
        <v>330000</v>
      </c>
      <c r="F31" s="1006">
        <v>0</v>
      </c>
      <c r="G31" s="1003"/>
      <c r="H31" s="1003"/>
      <c r="I31" s="1004"/>
      <c r="J31" s="914"/>
      <c r="K31" s="977" t="s">
        <v>944</v>
      </c>
      <c r="L31" s="977" t="s">
        <v>945</v>
      </c>
      <c r="M31" s="977" t="s">
        <v>946</v>
      </c>
      <c r="N31" s="977" t="s">
        <v>947</v>
      </c>
      <c r="O31" s="977" t="s">
        <v>952</v>
      </c>
      <c r="P31" s="998">
        <v>3797390.48</v>
      </c>
      <c r="Q31" s="979" t="s">
        <v>966</v>
      </c>
    </row>
    <row r="32" spans="2:17" s="133" customFormat="1" ht="19.5" customHeight="1">
      <c r="B32" s="647" t="s">
        <v>865</v>
      </c>
      <c r="C32" s="646"/>
      <c r="D32" s="241" t="s">
        <v>607</v>
      </c>
      <c r="E32" s="242">
        <v>185000</v>
      </c>
      <c r="F32" s="1006">
        <v>400000</v>
      </c>
      <c r="G32" s="1003">
        <v>911</v>
      </c>
      <c r="H32" s="1003">
        <v>4322</v>
      </c>
      <c r="I32" s="1004">
        <v>44933</v>
      </c>
      <c r="J32" s="914"/>
      <c r="K32" s="977" t="s">
        <v>944</v>
      </c>
      <c r="L32" s="977" t="s">
        <v>945</v>
      </c>
      <c r="M32" s="977" t="s">
        <v>946</v>
      </c>
      <c r="N32" s="977" t="s">
        <v>947</v>
      </c>
      <c r="O32" s="977" t="s">
        <v>954</v>
      </c>
      <c r="P32" s="998">
        <v>3208000</v>
      </c>
      <c r="Q32" s="979" t="s">
        <v>967</v>
      </c>
    </row>
    <row r="33" spans="2:17" s="133" customFormat="1" ht="19.5" customHeight="1">
      <c r="B33" s="647" t="s">
        <v>866</v>
      </c>
      <c r="C33" s="646"/>
      <c r="D33" s="241" t="s">
        <v>607</v>
      </c>
      <c r="E33" s="242">
        <v>165500</v>
      </c>
      <c r="F33" s="1006">
        <f>165500-60000</f>
        <v>105500</v>
      </c>
      <c r="G33" s="1003">
        <v>911</v>
      </c>
      <c r="H33" s="1003">
        <v>4322</v>
      </c>
      <c r="I33" s="1004">
        <v>44933</v>
      </c>
      <c r="J33" s="914"/>
      <c r="K33" s="977" t="s">
        <v>944</v>
      </c>
      <c r="L33" s="977" t="s">
        <v>968</v>
      </c>
      <c r="M33" s="977" t="s">
        <v>969</v>
      </c>
      <c r="N33" s="977" t="s">
        <v>947</v>
      </c>
      <c r="O33" s="977" t="s">
        <v>970</v>
      </c>
      <c r="P33" s="998">
        <v>200000</v>
      </c>
      <c r="Q33" s="979" t="s">
        <v>972</v>
      </c>
    </row>
    <row r="34" spans="2:17" s="133" customFormat="1" ht="19.5" customHeight="1">
      <c r="B34" s="647" t="s">
        <v>867</v>
      </c>
      <c r="C34" s="646"/>
      <c r="D34" s="241" t="s">
        <v>607</v>
      </c>
      <c r="E34" s="242">
        <v>60000</v>
      </c>
      <c r="F34" s="1006">
        <v>0</v>
      </c>
      <c r="G34" s="1003"/>
      <c r="H34" s="1003"/>
      <c r="I34" s="1004"/>
      <c r="J34" s="914"/>
      <c r="K34" s="977" t="s">
        <v>944</v>
      </c>
      <c r="L34" s="977" t="s">
        <v>968</v>
      </c>
      <c r="M34" s="977" t="s">
        <v>969</v>
      </c>
      <c r="N34" s="977" t="s">
        <v>947</v>
      </c>
      <c r="O34" s="977" t="s">
        <v>973</v>
      </c>
      <c r="P34" s="998">
        <v>120000</v>
      </c>
      <c r="Q34" s="979" t="s">
        <v>974</v>
      </c>
    </row>
    <row r="35" spans="2:17" s="133" customFormat="1" ht="19.5" customHeight="1">
      <c r="B35" s="647" t="s">
        <v>911</v>
      </c>
      <c r="C35" s="646"/>
      <c r="D35" s="241" t="s">
        <v>607</v>
      </c>
      <c r="E35" s="242">
        <v>0</v>
      </c>
      <c r="F35" s="1006">
        <v>120000</v>
      </c>
      <c r="G35" s="1003">
        <v>911</v>
      </c>
      <c r="H35" s="1003">
        <v>4391</v>
      </c>
      <c r="I35" s="1004">
        <v>44933</v>
      </c>
      <c r="J35" s="914"/>
      <c r="K35" s="978"/>
      <c r="L35" s="978"/>
      <c r="M35" s="978"/>
      <c r="N35" s="978"/>
      <c r="O35" s="978"/>
      <c r="P35" s="980"/>
      <c r="Q35" s="979"/>
    </row>
    <row r="36" spans="2:16" s="133" customFormat="1" ht="19.5" customHeight="1">
      <c r="B36" s="647" t="s">
        <v>910</v>
      </c>
      <c r="C36" s="646"/>
      <c r="D36" s="241" t="s">
        <v>607</v>
      </c>
      <c r="E36" s="242">
        <v>0</v>
      </c>
      <c r="F36" s="1006">
        <v>2046724</v>
      </c>
      <c r="G36" s="1003">
        <v>911</v>
      </c>
      <c r="H36" s="1003">
        <v>4322</v>
      </c>
      <c r="I36" s="1004">
        <v>44933</v>
      </c>
      <c r="J36" s="914"/>
      <c r="P36" s="169"/>
    </row>
    <row r="37" spans="2:10" s="133" customFormat="1" ht="19.5" customHeight="1">
      <c r="B37" s="647" t="s">
        <v>868</v>
      </c>
      <c r="C37" s="646"/>
      <c r="D37" s="241" t="s">
        <v>609</v>
      </c>
      <c r="E37" s="242">
        <v>150000</v>
      </c>
      <c r="F37" s="242">
        <v>150000</v>
      </c>
      <c r="G37" s="1003"/>
      <c r="H37" s="1003"/>
      <c r="I37" s="1004"/>
      <c r="J37" s="914"/>
    </row>
    <row r="38" spans="2:10" s="133" customFormat="1" ht="19.5" customHeight="1">
      <c r="B38" s="647" t="s">
        <v>869</v>
      </c>
      <c r="C38" s="646"/>
      <c r="D38" s="241" t="s">
        <v>609</v>
      </c>
      <c r="E38" s="242">
        <v>150000</v>
      </c>
      <c r="F38" s="242">
        <v>150000</v>
      </c>
      <c r="G38" s="1003"/>
      <c r="H38" s="1003"/>
      <c r="I38" s="1004"/>
      <c r="J38" s="914"/>
    </row>
    <row r="39" spans="2:10" s="133" customFormat="1" ht="19.5" customHeight="1">
      <c r="B39" s="647" t="s">
        <v>870</v>
      </c>
      <c r="C39" s="646"/>
      <c r="D39" s="241" t="s">
        <v>609</v>
      </c>
      <c r="E39" s="242">
        <v>7500</v>
      </c>
      <c r="F39" s="242">
        <v>6000</v>
      </c>
      <c r="G39" s="1003"/>
      <c r="H39" s="1003"/>
      <c r="I39" s="1004"/>
      <c r="J39" s="914"/>
    </row>
    <row r="40" spans="2:10" s="133" customFormat="1" ht="19.5" customHeight="1">
      <c r="B40" s="647" t="s">
        <v>871</v>
      </c>
      <c r="C40" s="646"/>
      <c r="D40" s="241" t="s">
        <v>609</v>
      </c>
      <c r="E40" s="242">
        <v>40000</v>
      </c>
      <c r="F40" s="242">
        <v>40000</v>
      </c>
      <c r="G40" s="1003"/>
      <c r="H40" s="1003"/>
      <c r="I40" s="1004"/>
      <c r="J40" s="914"/>
    </row>
    <row r="41" spans="2:10" s="133" customFormat="1" ht="19.5" customHeight="1">
      <c r="B41" s="647" t="s">
        <v>872</v>
      </c>
      <c r="C41" s="646"/>
      <c r="D41" s="241" t="s">
        <v>609</v>
      </c>
      <c r="E41" s="242">
        <v>6000</v>
      </c>
      <c r="F41" s="242">
        <v>6000</v>
      </c>
      <c r="G41" s="1003"/>
      <c r="H41" s="1003"/>
      <c r="I41" s="1004"/>
      <c r="J41" s="914"/>
    </row>
    <row r="42" spans="2:10" s="133" customFormat="1" ht="19.5" customHeight="1">
      <c r="B42" s="647" t="s">
        <v>873</v>
      </c>
      <c r="C42" s="646"/>
      <c r="D42" s="241" t="s">
        <v>609</v>
      </c>
      <c r="E42" s="242">
        <v>23351</v>
      </c>
      <c r="F42" s="242">
        <v>23351</v>
      </c>
      <c r="G42" s="1003"/>
      <c r="H42" s="1003"/>
      <c r="I42" s="1004"/>
      <c r="J42" s="914"/>
    </row>
    <row r="43" spans="2:10" s="133" customFormat="1" ht="19.5" customHeight="1">
      <c r="B43" s="647" t="s">
        <v>874</v>
      </c>
      <c r="C43" s="646"/>
      <c r="D43" s="241" t="s">
        <v>609</v>
      </c>
      <c r="E43" s="242">
        <v>3000</v>
      </c>
      <c r="F43" s="242">
        <v>3000</v>
      </c>
      <c r="G43" s="1003"/>
      <c r="H43" s="1003"/>
      <c r="I43" s="1004"/>
      <c r="J43" s="914"/>
    </row>
    <row r="44" spans="2:11" s="133" customFormat="1" ht="19.5" customHeight="1">
      <c r="B44" s="647" t="s">
        <v>875</v>
      </c>
      <c r="C44" s="646"/>
      <c r="D44" s="241" t="s">
        <v>609</v>
      </c>
      <c r="E44" s="242">
        <v>18000</v>
      </c>
      <c r="F44" s="242">
        <v>18000</v>
      </c>
      <c r="G44" s="1003"/>
      <c r="H44" s="1003"/>
      <c r="I44" s="1004"/>
      <c r="J44" s="914"/>
      <c r="K44" s="134"/>
    </row>
    <row r="45" spans="2:10" s="133" customFormat="1" ht="19.5" customHeight="1">
      <c r="B45" s="647" t="s">
        <v>930</v>
      </c>
      <c r="C45" s="646"/>
      <c r="D45" s="241" t="s">
        <v>609</v>
      </c>
      <c r="E45" s="242">
        <v>0</v>
      </c>
      <c r="F45" s="242">
        <v>36000</v>
      </c>
      <c r="G45" s="914"/>
      <c r="H45" s="914"/>
      <c r="I45" s="914"/>
      <c r="J45" s="914"/>
    </row>
    <row r="46" spans="2:20" s="133" customFormat="1" ht="19.5" customHeight="1" thickBot="1">
      <c r="B46" s="657" t="s">
        <v>145</v>
      </c>
      <c r="C46" s="621"/>
      <c r="D46" s="658"/>
      <c r="E46" s="713">
        <f>SUM(E24:E45)</f>
        <v>10484852.780000001</v>
      </c>
      <c r="F46" s="713">
        <f>SUM(F24:F45)</f>
        <v>10886352.780000001</v>
      </c>
      <c r="G46" s="661"/>
      <c r="H46" s="661"/>
      <c r="I46" s="661"/>
      <c r="J46" s="661"/>
      <c r="O46" s="995">
        <f>SUM(F24:F36)</f>
        <v>10454001.780000001</v>
      </c>
      <c r="P46" s="994">
        <f>SUM(P24:P45)</f>
        <v>10535001.78</v>
      </c>
      <c r="T46" s="996">
        <f>+O46-P46</f>
        <v>-80999.99999999814</v>
      </c>
    </row>
    <row r="47" spans="2:10" s="133" customFormat="1" ht="19.5" customHeight="1" thickBot="1">
      <c r="B47" s="661"/>
      <c r="C47" s="661"/>
      <c r="D47" s="661"/>
      <c r="E47" s="661"/>
      <c r="F47" s="661"/>
      <c r="G47" s="661"/>
      <c r="H47" s="661"/>
      <c r="I47" s="661"/>
      <c r="J47" s="661"/>
    </row>
    <row r="48" spans="2:10" s="133" customFormat="1" ht="41.25" customHeight="1" thickBot="1">
      <c r="B48" s="643" t="s">
        <v>389</v>
      </c>
      <c r="C48" s="617"/>
      <c r="D48" s="618" t="s">
        <v>590</v>
      </c>
      <c r="E48" s="618">
        <v>2016</v>
      </c>
      <c r="F48" s="618">
        <v>2017</v>
      </c>
      <c r="G48" s="618" t="s">
        <v>146</v>
      </c>
      <c r="H48" s="618" t="s">
        <v>627</v>
      </c>
      <c r="I48" s="619" t="s">
        <v>626</v>
      </c>
      <c r="J48" s="983"/>
    </row>
    <row r="49" spans="2:18" s="133" customFormat="1" ht="19.5" customHeight="1">
      <c r="B49" s="1011" t="s">
        <v>876</v>
      </c>
      <c r="C49" s="654"/>
      <c r="D49" s="655" t="s">
        <v>607</v>
      </c>
      <c r="E49" s="656">
        <v>1903196.01</v>
      </c>
      <c r="F49" s="1012">
        <f>2035196.01+21000</f>
        <v>2056196.01</v>
      </c>
      <c r="G49" s="1016" t="s">
        <v>945</v>
      </c>
      <c r="H49" s="1017" t="s">
        <v>946</v>
      </c>
      <c r="I49" s="1018" t="s">
        <v>947</v>
      </c>
      <c r="J49" s="914"/>
      <c r="K49" s="977" t="s">
        <v>944</v>
      </c>
      <c r="L49" s="977" t="s">
        <v>945</v>
      </c>
      <c r="M49" s="977" t="s">
        <v>946</v>
      </c>
      <c r="N49" s="977" t="s">
        <v>947</v>
      </c>
      <c r="O49" s="978"/>
      <c r="P49" s="980">
        <v>1903196.01</v>
      </c>
      <c r="Q49" s="979" t="s">
        <v>948</v>
      </c>
      <c r="R49" s="992"/>
    </row>
    <row r="50" spans="2:18" s="133" customFormat="1" ht="19.5" customHeight="1">
      <c r="B50" s="1013"/>
      <c r="C50" s="1009"/>
      <c r="D50" s="664"/>
      <c r="E50" s="245"/>
      <c r="F50" s="1014"/>
      <c r="G50" s="1005"/>
      <c r="H50" s="730"/>
      <c r="I50" s="731"/>
      <c r="J50" s="914"/>
      <c r="K50" s="977" t="s">
        <v>944</v>
      </c>
      <c r="L50" s="977" t="s">
        <v>945</v>
      </c>
      <c r="M50" s="977" t="s">
        <v>946</v>
      </c>
      <c r="N50" s="977" t="s">
        <v>947</v>
      </c>
      <c r="O50" s="978"/>
      <c r="P50" s="980">
        <v>19000</v>
      </c>
      <c r="Q50" s="979" t="s">
        <v>949</v>
      </c>
      <c r="R50" s="992"/>
    </row>
    <row r="51" spans="2:18" s="133" customFormat="1" ht="19.5" customHeight="1">
      <c r="B51" s="1013"/>
      <c r="C51" s="1009"/>
      <c r="D51" s="664"/>
      <c r="E51" s="245"/>
      <c r="F51" s="1014"/>
      <c r="G51" s="1019"/>
      <c r="H51" s="1010"/>
      <c r="I51" s="1020"/>
      <c r="J51" s="985"/>
      <c r="K51" s="977" t="s">
        <v>944</v>
      </c>
      <c r="L51" s="977" t="s">
        <v>945</v>
      </c>
      <c r="M51" s="977" t="s">
        <v>946</v>
      </c>
      <c r="N51" s="977" t="s">
        <v>947</v>
      </c>
      <c r="O51" s="978"/>
      <c r="P51" s="980">
        <v>19000</v>
      </c>
      <c r="Q51" s="979" t="s">
        <v>950</v>
      </c>
      <c r="R51" s="992"/>
    </row>
    <row r="52" spans="2:18" ht="24.75" customHeight="1">
      <c r="B52" s="1013"/>
      <c r="C52" s="1009"/>
      <c r="D52" s="664"/>
      <c r="E52" s="245"/>
      <c r="F52" s="1014"/>
      <c r="G52" s="1019"/>
      <c r="H52" s="1010"/>
      <c r="I52" s="1020"/>
      <c r="J52" s="985"/>
      <c r="K52" s="977" t="s">
        <v>944</v>
      </c>
      <c r="L52" s="977" t="s">
        <v>945</v>
      </c>
      <c r="M52" s="977" t="s">
        <v>946</v>
      </c>
      <c r="N52" s="977" t="s">
        <v>947</v>
      </c>
      <c r="O52" s="978"/>
      <c r="P52" s="980">
        <v>94000</v>
      </c>
      <c r="Q52" s="979" t="s">
        <v>951</v>
      </c>
      <c r="R52" s="993"/>
    </row>
    <row r="53" spans="2:16" ht="19.5" customHeight="1">
      <c r="B53" s="1013"/>
      <c r="C53" s="1009"/>
      <c r="D53" s="664"/>
      <c r="E53" s="245"/>
      <c r="F53" s="1014"/>
      <c r="G53" s="1019"/>
      <c r="H53" s="1010"/>
      <c r="I53" s="1020"/>
      <c r="J53" s="985"/>
      <c r="P53" s="240"/>
    </row>
    <row r="54" spans="2:16" ht="19.5" customHeight="1">
      <c r="B54" s="1013"/>
      <c r="C54" s="1009"/>
      <c r="D54" s="664"/>
      <c r="E54" s="245"/>
      <c r="F54" s="1014"/>
      <c r="G54" s="1019"/>
      <c r="H54" s="1010"/>
      <c r="I54" s="1020"/>
      <c r="J54" s="985"/>
      <c r="P54" s="240"/>
    </row>
    <row r="55" spans="2:16" ht="19.5" customHeight="1">
      <c r="B55" s="1013"/>
      <c r="C55" s="1009"/>
      <c r="D55" s="664"/>
      <c r="E55" s="245"/>
      <c r="F55" s="1015"/>
      <c r="G55" s="1019"/>
      <c r="H55" s="1010"/>
      <c r="I55" s="1020"/>
      <c r="J55" s="985"/>
      <c r="P55" s="240"/>
    </row>
    <row r="56" spans="2:16" ht="19.5" customHeight="1" thickBot="1">
      <c r="B56" s="1013"/>
      <c r="C56" s="1009"/>
      <c r="D56" s="664"/>
      <c r="E56" s="245"/>
      <c r="F56" s="1014"/>
      <c r="G56" s="1021"/>
      <c r="H56" s="1022"/>
      <c r="I56" s="253"/>
      <c r="J56" s="985"/>
      <c r="P56" s="240"/>
    </row>
    <row r="57" spans="2:20" ht="19.5" customHeight="1" thickBot="1">
      <c r="B57" s="657" t="s">
        <v>145</v>
      </c>
      <c r="C57" s="621"/>
      <c r="D57" s="658"/>
      <c r="E57" s="713">
        <f>SUM(E49:E56)</f>
        <v>1903196.01</v>
      </c>
      <c r="F57" s="1008">
        <f>SUM(F49:F56)</f>
        <v>2056196.01</v>
      </c>
      <c r="G57" s="661"/>
      <c r="H57" s="661"/>
      <c r="I57" s="661"/>
      <c r="J57" s="661"/>
      <c r="P57" s="980">
        <f>SUM(P49:P56)</f>
        <v>2035196.01</v>
      </c>
      <c r="T57" s="997">
        <f>+F57-P57</f>
        <v>21000</v>
      </c>
    </row>
    <row r="58" spans="2:10" s="133" customFormat="1" ht="19.5" customHeight="1">
      <c r="B58" s="661"/>
      <c r="C58" s="661"/>
      <c r="D58" s="661"/>
      <c r="E58" s="661"/>
      <c r="F58" s="999"/>
      <c r="G58" s="661"/>
      <c r="H58" s="661"/>
      <c r="I58" s="661"/>
      <c r="J58" s="661"/>
    </row>
    <row r="59" spans="2:10" s="133" customFormat="1" ht="19.5" customHeight="1" thickBot="1">
      <c r="B59" s="661"/>
      <c r="C59" s="661"/>
      <c r="D59" s="661"/>
      <c r="E59" s="661"/>
      <c r="F59" s="661"/>
      <c r="G59" s="661"/>
      <c r="H59" s="661"/>
      <c r="I59" s="661"/>
      <c r="J59" s="661"/>
    </row>
    <row r="60" spans="2:10" s="133" customFormat="1" ht="19.5" customHeight="1" thickBot="1">
      <c r="B60" s="643" t="s">
        <v>598</v>
      </c>
      <c r="C60" s="617"/>
      <c r="D60" s="618" t="s">
        <v>590</v>
      </c>
      <c r="E60" s="618">
        <v>2016</v>
      </c>
      <c r="F60" s="618">
        <v>2017</v>
      </c>
      <c r="G60" s="618" t="s">
        <v>146</v>
      </c>
      <c r="H60" s="618" t="s">
        <v>627</v>
      </c>
      <c r="I60" s="619" t="s">
        <v>626</v>
      </c>
      <c r="J60" s="983"/>
    </row>
    <row r="61" spans="2:10" s="133" customFormat="1" ht="19.5" customHeight="1">
      <c r="B61" s="645"/>
      <c r="C61" s="646"/>
      <c r="D61" s="241"/>
      <c r="E61" s="242"/>
      <c r="F61" s="242"/>
      <c r="G61" s="246"/>
      <c r="H61" s="246"/>
      <c r="I61" s="247"/>
      <c r="J61" s="986"/>
    </row>
    <row r="62" spans="2:10" s="133" customFormat="1" ht="19.5" customHeight="1">
      <c r="B62" s="647"/>
      <c r="C62" s="646"/>
      <c r="D62" s="241"/>
      <c r="E62" s="245"/>
      <c r="F62" s="245"/>
      <c r="G62" s="248"/>
      <c r="H62" s="248"/>
      <c r="I62" s="249"/>
      <c r="J62" s="985"/>
    </row>
    <row r="63" spans="2:10" s="133" customFormat="1" ht="19.5" customHeight="1">
      <c r="B63" s="647"/>
      <c r="C63" s="646"/>
      <c r="D63" s="241"/>
      <c r="E63" s="245"/>
      <c r="F63" s="245"/>
      <c r="G63" s="248"/>
      <c r="H63" s="248"/>
      <c r="I63" s="249"/>
      <c r="J63" s="985"/>
    </row>
    <row r="64" spans="2:10" s="133" customFormat="1" ht="19.5" customHeight="1">
      <c r="B64" s="647"/>
      <c r="C64" s="646"/>
      <c r="D64" s="241"/>
      <c r="E64" s="245"/>
      <c r="F64" s="245"/>
      <c r="G64" s="248"/>
      <c r="H64" s="248"/>
      <c r="I64" s="249"/>
      <c r="J64" s="985"/>
    </row>
    <row r="65" spans="2:10" s="133" customFormat="1" ht="19.5" customHeight="1">
      <c r="B65" s="647"/>
      <c r="C65" s="646"/>
      <c r="D65" s="241"/>
      <c r="E65" s="245"/>
      <c r="F65" s="245"/>
      <c r="G65" s="248"/>
      <c r="H65" s="248"/>
      <c r="I65" s="249"/>
      <c r="J65" s="985"/>
    </row>
    <row r="66" spans="2:10" s="133" customFormat="1" ht="19.5" customHeight="1">
      <c r="B66" s="647"/>
      <c r="C66" s="646"/>
      <c r="D66" s="241"/>
      <c r="E66" s="245"/>
      <c r="F66" s="245"/>
      <c r="G66" s="248"/>
      <c r="H66" s="248"/>
      <c r="I66" s="249"/>
      <c r="J66" s="985"/>
    </row>
    <row r="67" spans="2:10" s="133" customFormat="1" ht="19.5" customHeight="1">
      <c r="B67" s="647"/>
      <c r="C67" s="646"/>
      <c r="D67" s="241"/>
      <c r="E67" s="245"/>
      <c r="F67" s="245"/>
      <c r="G67" s="248"/>
      <c r="H67" s="248"/>
      <c r="I67" s="249"/>
      <c r="J67" s="985"/>
    </row>
    <row r="68" spans="2:10" s="133" customFormat="1" ht="19.5" customHeight="1" thickBot="1">
      <c r="B68" s="647"/>
      <c r="C68" s="650"/>
      <c r="D68" s="250"/>
      <c r="E68" s="251"/>
      <c r="F68" s="251"/>
      <c r="G68" s="252"/>
      <c r="H68" s="252"/>
      <c r="I68" s="253"/>
      <c r="J68" s="985"/>
    </row>
    <row r="69" spans="2:10" s="133" customFormat="1" ht="19.5" customHeight="1" thickBot="1">
      <c r="B69" s="641" t="s">
        <v>605</v>
      </c>
      <c r="C69" s="617"/>
      <c r="D69" s="642"/>
      <c r="E69" s="644">
        <f>SUM(E61:E68)</f>
        <v>0</v>
      </c>
      <c r="F69" s="644">
        <f>SUM(F61:F68)</f>
        <v>0</v>
      </c>
      <c r="G69" s="661"/>
      <c r="H69" s="661"/>
      <c r="I69" s="661"/>
      <c r="J69" s="661"/>
    </row>
    <row r="70" spans="2:6" s="133" customFormat="1" ht="19.5" customHeight="1">
      <c r="B70" s="258"/>
      <c r="C70" s="259"/>
      <c r="D70" s="260"/>
      <c r="E70" s="260"/>
      <c r="F70" s="260"/>
    </row>
    <row r="71" spans="2:10" s="133" customFormat="1" ht="45.75" customHeight="1">
      <c r="B71" s="1451"/>
      <c r="C71" s="1451"/>
      <c r="D71" s="1451"/>
      <c r="E71" s="1451"/>
      <c r="F71" s="1451"/>
      <c r="G71" s="1451"/>
      <c r="H71" s="1451"/>
      <c r="I71" s="1451"/>
      <c r="J71" s="976"/>
    </row>
    <row r="72" spans="2:10" s="133" customFormat="1" ht="19.5" customHeight="1">
      <c r="B72" s="1447"/>
      <c r="C72" s="1447"/>
      <c r="D72" s="1447"/>
      <c r="E72" s="1447"/>
      <c r="F72" s="1447"/>
      <c r="G72" s="1447"/>
      <c r="H72" s="1447"/>
      <c r="I72" s="1447"/>
      <c r="J72" s="974"/>
    </row>
    <row r="73" spans="2:10" s="133" customFormat="1" ht="18.75" customHeight="1">
      <c r="B73" s="1447"/>
      <c r="C73" s="1447"/>
      <c r="D73" s="1447"/>
      <c r="E73" s="1447"/>
      <c r="F73" s="1447"/>
      <c r="G73" s="1447"/>
      <c r="H73" s="1447"/>
      <c r="I73" s="1447"/>
      <c r="J73" s="974"/>
    </row>
    <row r="74" s="133" customFormat="1" ht="19.5" customHeight="1"/>
    <row r="75" s="133" customFormat="1" ht="19.5" customHeight="1"/>
    <row r="76" s="133" customFormat="1" ht="19.5" customHeight="1"/>
    <row r="77" s="133" customFormat="1" ht="19.5" customHeight="1"/>
    <row r="78" s="133" customFormat="1" ht="19.5" customHeight="1"/>
    <row r="79" s="133" customFormat="1" ht="19.5" customHeight="1"/>
    <row r="80" s="133" customFormat="1" ht="19.5" customHeight="1"/>
    <row r="81" s="133" customFormat="1" ht="19.5" customHeight="1"/>
    <row r="82" s="133" customFormat="1" ht="19.5" customHeight="1"/>
    <row r="83" s="133" customFormat="1" ht="19.5" customHeight="1"/>
    <row r="84" s="133" customFormat="1" ht="19.5" customHeight="1"/>
    <row r="85" s="133" customFormat="1" ht="19.5" customHeight="1"/>
    <row r="86" s="133" customFormat="1" ht="12.75"/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7" ht="12.75">
      <c r="D97" s="238" t="s">
        <v>606</v>
      </c>
    </row>
    <row r="98" ht="12.75">
      <c r="D98" s="238" t="s">
        <v>607</v>
      </c>
    </row>
    <row r="99" ht="12.75">
      <c r="D99" s="238" t="s">
        <v>608</v>
      </c>
    </row>
    <row r="100" ht="12.75">
      <c r="D100" s="238" t="s">
        <v>609</v>
      </c>
    </row>
    <row r="101" ht="12.75">
      <c r="D101" s="238" t="s">
        <v>610</v>
      </c>
    </row>
    <row r="102" ht="12.75">
      <c r="D102" s="238" t="s">
        <v>611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72:I72"/>
    <mergeCell ref="B73:I73"/>
    <mergeCell ref="B4:I4"/>
    <mergeCell ref="B71:I71"/>
    <mergeCell ref="G2:I2"/>
    <mergeCell ref="G3:I3"/>
    <mergeCell ref="B3:F3"/>
    <mergeCell ref="B2:F2"/>
  </mergeCells>
  <dataValidations count="5">
    <dataValidation type="list" allowBlank="1" showInputMessage="1" showErrorMessage="1" promptTitle="Especifique la Entidad" sqref="D97:E97">
      <formula1>$D$6:$D$11</formula1>
    </dataValidation>
    <dataValidation type="list" allowBlank="1" showInputMessage="1" showErrorMessage="1" promptTitle="TENER EN CUENTA" prompt="Indicar Entidad Pública" sqref="D7:D14 D50:D56">
      <formula1>$D$97:$D$102</formula1>
    </dataValidation>
    <dataValidation allowBlank="1" showInputMessage="1" showErrorMessage="1" promptTitle="ENTRADA" prompt="Antes de Estimar esta Celda debes incluir en Celda Naranja el Dato Inicial" sqref="E7:F7 E49:F49"/>
    <dataValidation type="list" allowBlank="1" showInputMessage="1" showErrorMessage="1" promptTitle="TENER EN CUENTA" prompt="Indicar Entidad Pública" sqref="D24:D45">
      <formula1>$C$97:$C$102</formula1>
    </dataValidation>
    <dataValidation type="list" allowBlank="1" showInputMessage="1" showErrorMessage="1" promptTitle="TENER EN CUENTA" prompt="Indicar Entidad Pública" sqref="D49">
      <formula1>$C$106:$C$111</formula1>
    </dataValidation>
  </dataValidations>
  <printOptions horizontalCentered="1" verticalCentered="1"/>
  <pageMargins left="0.26" right="0.2755905511811024" top="0.33" bottom="0.2755905511811024" header="0.5118110236220472" footer="0.2755905511811024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8"/>
  <sheetViews>
    <sheetView zoomScale="55" zoomScaleNormal="55" zoomScalePageLayoutView="0" workbookViewId="0" topLeftCell="A1">
      <selection activeCell="E29" sqref="E29"/>
    </sheetView>
  </sheetViews>
  <sheetFormatPr defaultColWidth="11.57421875" defaultRowHeight="12.75"/>
  <cols>
    <col min="1" max="1" width="7.8515625" style="133" customWidth="1"/>
    <col min="2" max="2" width="46.7109375" style="133" customWidth="1"/>
    <col min="3" max="3" width="19.281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53"/>
      <c r="B3" s="1059" t="s">
        <v>452</v>
      </c>
      <c r="C3" s="1060"/>
      <c r="D3" s="1060"/>
      <c r="E3" s="1060"/>
      <c r="F3" s="1060"/>
      <c r="G3" s="1060"/>
      <c r="H3" s="1060"/>
      <c r="I3" s="1061"/>
      <c r="J3" s="1062">
        <v>2017</v>
      </c>
    </row>
    <row r="4" spans="1:10" ht="22.5" customHeight="1" thickBot="1">
      <c r="A4" s="753"/>
      <c r="B4" s="1064" t="s">
        <v>343</v>
      </c>
      <c r="C4" s="1065"/>
      <c r="D4" s="1065"/>
      <c r="E4" s="1065"/>
      <c r="F4" s="1065"/>
      <c r="G4" s="1065"/>
      <c r="H4" s="1065"/>
      <c r="I4" s="1066"/>
      <c r="J4" s="1063"/>
    </row>
    <row r="5" spans="2:10" ht="30" customHeight="1">
      <c r="B5" s="1067" t="str">
        <f>'ORGANOS DE GOBIERNO'!B4:I4</f>
        <v>ENTIDAD: SPET</v>
      </c>
      <c r="C5" s="1068"/>
      <c r="D5" s="1068"/>
      <c r="E5" s="1068"/>
      <c r="F5" s="1068"/>
      <c r="G5" s="1068"/>
      <c r="H5" s="1068"/>
      <c r="I5" s="1068"/>
      <c r="J5" s="1069"/>
    </row>
    <row r="6" spans="2:10" ht="6" customHeight="1">
      <c r="B6" s="754"/>
      <c r="C6" s="755"/>
      <c r="D6" s="755"/>
      <c r="E6" s="755"/>
      <c r="F6" s="755"/>
      <c r="G6" s="158"/>
      <c r="H6" s="158"/>
      <c r="I6" s="158"/>
      <c r="J6" s="232"/>
    </row>
    <row r="7" spans="2:10" ht="18" customHeight="1">
      <c r="B7" s="756" t="s">
        <v>663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57"/>
      <c r="C8" s="758"/>
      <c r="D8" s="158"/>
      <c r="E8" s="158"/>
      <c r="F8" s="158"/>
      <c r="G8" s="1057" t="s">
        <v>453</v>
      </c>
      <c r="H8" s="1057"/>
      <c r="I8" s="1057"/>
      <c r="J8" s="1058"/>
    </row>
    <row r="9" spans="2:10" ht="46.5" customHeight="1" thickBot="1">
      <c r="B9" s="759" t="s">
        <v>664</v>
      </c>
      <c r="C9" s="760" t="s">
        <v>665</v>
      </c>
      <c r="D9" s="761" t="s">
        <v>454</v>
      </c>
      <c r="E9" s="761" t="s">
        <v>455</v>
      </c>
      <c r="F9" s="760" t="s">
        <v>461</v>
      </c>
      <c r="G9" s="760" t="s">
        <v>456</v>
      </c>
      <c r="H9" s="760" t="s">
        <v>457</v>
      </c>
      <c r="I9" s="760" t="s">
        <v>458</v>
      </c>
      <c r="J9" s="762" t="s">
        <v>459</v>
      </c>
    </row>
    <row r="10" spans="2:10" ht="15" customHeight="1">
      <c r="B10" s="916" t="s">
        <v>607</v>
      </c>
      <c r="C10" s="917">
        <v>0.913</v>
      </c>
      <c r="D10" s="918">
        <v>212</v>
      </c>
      <c r="E10" s="919">
        <f>+C10*691163.8</f>
        <v>631032.5494</v>
      </c>
      <c r="F10" s="919">
        <f>1039423.73*(D10/230)</f>
        <v>958077.5250434782</v>
      </c>
      <c r="G10" s="158"/>
      <c r="H10" s="158"/>
      <c r="I10" s="158"/>
      <c r="J10" s="232"/>
    </row>
    <row r="11" spans="2:10" ht="15" customHeight="1">
      <c r="B11" s="916" t="s">
        <v>877</v>
      </c>
      <c r="C11" s="920">
        <v>0.02173913043478261</v>
      </c>
      <c r="D11" s="921">
        <v>4</v>
      </c>
      <c r="E11" s="922">
        <f aca="true" t="shared" si="0" ref="E11:E20">+C11*691163.8</f>
        <v>15025.300000000003</v>
      </c>
      <c r="F11" s="922">
        <f aca="true" t="shared" si="1" ref="F11:F20">1039423.73*(D11/230)</f>
        <v>18076.934434782608</v>
      </c>
      <c r="G11" s="158"/>
      <c r="H11" s="158"/>
      <c r="I11" s="158"/>
      <c r="J11" s="232"/>
    </row>
    <row r="12" spans="2:10" ht="15" customHeight="1">
      <c r="B12" s="916" t="s">
        <v>878</v>
      </c>
      <c r="C12" s="920">
        <v>0.02173913043478261</v>
      </c>
      <c r="D12" s="921">
        <v>4</v>
      </c>
      <c r="E12" s="922">
        <f t="shared" si="0"/>
        <v>15025.300000000003</v>
      </c>
      <c r="F12" s="922">
        <f t="shared" si="1"/>
        <v>18076.934434782608</v>
      </c>
      <c r="G12" s="158"/>
      <c r="H12" s="158"/>
      <c r="I12" s="158"/>
      <c r="J12" s="232"/>
    </row>
    <row r="13" spans="2:10" ht="15" customHeight="1">
      <c r="B13" s="916" t="s">
        <v>879</v>
      </c>
      <c r="C13" s="920">
        <v>0.008695652173913044</v>
      </c>
      <c r="D13" s="921">
        <v>2</v>
      </c>
      <c r="E13" s="922">
        <f t="shared" si="0"/>
        <v>6010.120000000001</v>
      </c>
      <c r="F13" s="922">
        <f t="shared" si="1"/>
        <v>9038.467217391304</v>
      </c>
      <c r="G13" s="158"/>
      <c r="H13" s="158"/>
      <c r="I13" s="158"/>
      <c r="J13" s="232"/>
    </row>
    <row r="14" spans="2:10" ht="15" customHeight="1">
      <c r="B14" s="916" t="s">
        <v>880</v>
      </c>
      <c r="C14" s="920">
        <v>0.008695652173913044</v>
      </c>
      <c r="D14" s="921">
        <v>2</v>
      </c>
      <c r="E14" s="922">
        <f t="shared" si="0"/>
        <v>6010.120000000001</v>
      </c>
      <c r="F14" s="922">
        <f t="shared" si="1"/>
        <v>9038.467217391304</v>
      </c>
      <c r="G14" s="158"/>
      <c r="H14" s="158"/>
      <c r="I14" s="158"/>
      <c r="J14" s="232"/>
    </row>
    <row r="15" spans="2:10" ht="15" customHeight="1">
      <c r="B15" s="916" t="s">
        <v>881</v>
      </c>
      <c r="C15" s="920">
        <v>0.004347826086956522</v>
      </c>
      <c r="D15" s="921">
        <v>1</v>
      </c>
      <c r="E15" s="922">
        <f t="shared" si="0"/>
        <v>3005.0600000000004</v>
      </c>
      <c r="F15" s="922">
        <f t="shared" si="1"/>
        <v>4519.233608695652</v>
      </c>
      <c r="G15" s="158"/>
      <c r="H15" s="158"/>
      <c r="I15" s="158"/>
      <c r="J15" s="232"/>
    </row>
    <row r="16" spans="2:10" ht="15" customHeight="1">
      <c r="B16" s="916" t="s">
        <v>882</v>
      </c>
      <c r="C16" s="920">
        <v>0.004347826086956522</v>
      </c>
      <c r="D16" s="921">
        <v>1</v>
      </c>
      <c r="E16" s="922">
        <f t="shared" si="0"/>
        <v>3005.0600000000004</v>
      </c>
      <c r="F16" s="922">
        <f t="shared" si="1"/>
        <v>4519.233608695652</v>
      </c>
      <c r="G16" s="158"/>
      <c r="H16" s="158"/>
      <c r="I16" s="158"/>
      <c r="J16" s="232"/>
    </row>
    <row r="17" spans="2:10" ht="15" customHeight="1">
      <c r="B17" s="916" t="s">
        <v>883</v>
      </c>
      <c r="C17" s="920">
        <v>0.004347826086956522</v>
      </c>
      <c r="D17" s="921">
        <v>1</v>
      </c>
      <c r="E17" s="922">
        <f t="shared" si="0"/>
        <v>3005.0600000000004</v>
      </c>
      <c r="F17" s="922">
        <f t="shared" si="1"/>
        <v>4519.233608695652</v>
      </c>
      <c r="G17" s="158"/>
      <c r="H17" s="158"/>
      <c r="I17" s="158"/>
      <c r="J17" s="232"/>
    </row>
    <row r="18" spans="2:10" ht="15" customHeight="1">
      <c r="B18" s="916" t="s">
        <v>884</v>
      </c>
      <c r="C18" s="920">
        <v>0.004347826086956522</v>
      </c>
      <c r="D18" s="921">
        <v>1</v>
      </c>
      <c r="E18" s="922">
        <f t="shared" si="0"/>
        <v>3005.0600000000004</v>
      </c>
      <c r="F18" s="922">
        <f t="shared" si="1"/>
        <v>4519.233608695652</v>
      </c>
      <c r="G18" s="158"/>
      <c r="H18" s="158"/>
      <c r="I18" s="158"/>
      <c r="J18" s="232"/>
    </row>
    <row r="19" spans="2:10" ht="15" customHeight="1">
      <c r="B19" s="916" t="s">
        <v>885</v>
      </c>
      <c r="C19" s="920">
        <v>0.004347826086956522</v>
      </c>
      <c r="D19" s="921">
        <v>1</v>
      </c>
      <c r="E19" s="922">
        <f t="shared" si="0"/>
        <v>3005.0600000000004</v>
      </c>
      <c r="F19" s="922">
        <f t="shared" si="1"/>
        <v>4519.233608695652</v>
      </c>
      <c r="G19" s="158"/>
      <c r="H19" s="158"/>
      <c r="I19" s="158"/>
      <c r="J19" s="232"/>
    </row>
    <row r="20" spans="2:10" ht="15" customHeight="1">
      <c r="B20" s="916" t="s">
        <v>886</v>
      </c>
      <c r="C20" s="920">
        <v>0.004347826086956522</v>
      </c>
      <c r="D20" s="921">
        <v>1</v>
      </c>
      <c r="E20" s="922">
        <f t="shared" si="0"/>
        <v>3005.0600000000004</v>
      </c>
      <c r="F20" s="922">
        <f t="shared" si="1"/>
        <v>4519.233608695652</v>
      </c>
      <c r="G20" s="158"/>
      <c r="H20" s="158"/>
      <c r="I20" s="158"/>
      <c r="J20" s="232"/>
    </row>
    <row r="21" spans="2:10" ht="15" customHeight="1">
      <c r="B21" s="231"/>
      <c r="C21" s="734"/>
      <c r="D21" s="763"/>
      <c r="E21" s="764"/>
      <c r="F21" s="764"/>
      <c r="G21" s="158"/>
      <c r="H21" s="158"/>
      <c r="I21" s="158"/>
      <c r="J21" s="232"/>
    </row>
    <row r="22" spans="2:10" ht="15" customHeight="1">
      <c r="B22" s="756" t="s">
        <v>666</v>
      </c>
      <c r="C22" s="734"/>
      <c r="D22" s="158"/>
      <c r="E22" s="764"/>
      <c r="F22" s="764"/>
      <c r="G22" s="158"/>
      <c r="H22" s="158"/>
      <c r="I22" s="158"/>
      <c r="J22" s="232"/>
    </row>
    <row r="23" spans="2:10" ht="27.75" customHeight="1">
      <c r="B23" s="757"/>
      <c r="C23" s="765"/>
      <c r="D23" s="158"/>
      <c r="E23" s="158"/>
      <c r="F23" s="158"/>
      <c r="G23" s="1057" t="s">
        <v>453</v>
      </c>
      <c r="H23" s="1057"/>
      <c r="I23" s="1057"/>
      <c r="J23" s="1058"/>
    </row>
    <row r="24" spans="2:10" ht="36" customHeight="1" thickBot="1">
      <c r="B24" s="759" t="s">
        <v>667</v>
      </c>
      <c r="C24" s="760" t="s">
        <v>665</v>
      </c>
      <c r="D24" s="761" t="s">
        <v>454</v>
      </c>
      <c r="E24" s="761" t="s">
        <v>455</v>
      </c>
      <c r="F24" s="760" t="s">
        <v>460</v>
      </c>
      <c r="G24" s="760" t="s">
        <v>456</v>
      </c>
      <c r="H24" s="760" t="s">
        <v>457</v>
      </c>
      <c r="I24" s="760" t="s">
        <v>458</v>
      </c>
      <c r="J24" s="762" t="s">
        <v>459</v>
      </c>
    </row>
    <row r="25" spans="2:10" ht="15" customHeight="1">
      <c r="B25" s="916" t="s">
        <v>887</v>
      </c>
      <c r="C25" s="923">
        <v>0.41</v>
      </c>
      <c r="D25" s="924"/>
      <c r="E25" s="922">
        <v>110000</v>
      </c>
      <c r="F25" s="922">
        <v>0</v>
      </c>
      <c r="G25" s="158"/>
      <c r="H25" s="158"/>
      <c r="I25" s="158"/>
      <c r="J25" s="232"/>
    </row>
    <row r="26" spans="2:10" ht="15" customHeight="1">
      <c r="B26" s="916" t="s">
        <v>907</v>
      </c>
      <c r="C26" s="917">
        <v>0.0498</v>
      </c>
      <c r="D26" s="158"/>
      <c r="E26" s="922">
        <v>1500</v>
      </c>
      <c r="F26" s="922">
        <v>0</v>
      </c>
      <c r="G26" s="158"/>
      <c r="H26" s="158"/>
      <c r="I26" s="158"/>
      <c r="J26" s="232"/>
    </row>
    <row r="27" spans="2:10" ht="15" customHeight="1">
      <c r="B27" s="757"/>
      <c r="C27" s="766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57"/>
      <c r="C28" s="766"/>
      <c r="D28" s="158"/>
      <c r="E28" s="158"/>
      <c r="F28" s="158"/>
      <c r="G28" s="158"/>
      <c r="H28" s="158"/>
      <c r="I28" s="158"/>
      <c r="J28" s="232"/>
    </row>
    <row r="29" spans="2:10" ht="15" customHeight="1">
      <c r="B29" s="757"/>
      <c r="C29" s="758"/>
      <c r="D29" s="158"/>
      <c r="E29" s="158"/>
      <c r="F29" s="158"/>
      <c r="G29" s="158"/>
      <c r="H29" s="158"/>
      <c r="I29" s="158"/>
      <c r="J29" s="232"/>
    </row>
    <row r="30" spans="2:10" ht="15" customHeight="1">
      <c r="B30" s="757"/>
      <c r="C30" s="758"/>
      <c r="D30" s="158"/>
      <c r="E30" s="158"/>
      <c r="F30" s="158"/>
      <c r="G30" s="158"/>
      <c r="H30" s="158"/>
      <c r="I30" s="158"/>
      <c r="J30" s="232"/>
    </row>
    <row r="31" spans="2:10" ht="15" customHeight="1">
      <c r="B31" s="231"/>
      <c r="C31" s="158"/>
      <c r="D31" s="158"/>
      <c r="E31" s="158"/>
      <c r="F31" s="158"/>
      <c r="G31" s="158"/>
      <c r="H31" s="158"/>
      <c r="I31" s="158"/>
      <c r="J31" s="232"/>
    </row>
    <row r="32" spans="2:10" ht="15" customHeight="1">
      <c r="B32" s="757"/>
      <c r="C32" s="758"/>
      <c r="D32" s="158"/>
      <c r="E32" s="158"/>
      <c r="F32" s="158"/>
      <c r="G32" s="158"/>
      <c r="H32" s="158"/>
      <c r="I32" s="158"/>
      <c r="J32" s="232"/>
    </row>
    <row r="33" spans="2:10" ht="15" customHeight="1">
      <c r="B33" s="757"/>
      <c r="C33" s="758"/>
      <c r="D33" s="158"/>
      <c r="E33" s="158"/>
      <c r="F33" s="158"/>
      <c r="G33" s="158"/>
      <c r="H33" s="158"/>
      <c r="I33" s="158"/>
      <c r="J33" s="232"/>
    </row>
    <row r="34" spans="2:10" ht="15" customHeight="1">
      <c r="B34" s="756" t="s">
        <v>668</v>
      </c>
      <c r="C34" s="158"/>
      <c r="D34" s="158"/>
      <c r="E34" s="158"/>
      <c r="F34" s="158"/>
      <c r="G34" s="158"/>
      <c r="H34" s="158"/>
      <c r="I34" s="158"/>
      <c r="J34" s="232"/>
    </row>
    <row r="35" spans="2:10" ht="5.25" customHeight="1">
      <c r="B35" s="757"/>
      <c r="C35" s="758"/>
      <c r="D35" s="158"/>
      <c r="E35" s="158"/>
      <c r="F35" s="158"/>
      <c r="G35" s="158"/>
      <c r="H35" s="158"/>
      <c r="I35" s="158"/>
      <c r="J35" s="232"/>
    </row>
    <row r="36" spans="2:10" ht="29.25" customHeight="1" thickBot="1">
      <c r="B36" s="759" t="s">
        <v>669</v>
      </c>
      <c r="C36" s="767" t="s">
        <v>670</v>
      </c>
      <c r="D36" s="760" t="s">
        <v>671</v>
      </c>
      <c r="E36" s="316"/>
      <c r="F36" s="316"/>
      <c r="G36" s="316"/>
      <c r="H36" s="316"/>
      <c r="I36" s="316"/>
      <c r="J36" s="320"/>
    </row>
    <row r="37" spans="2:10" ht="9.75" customHeight="1">
      <c r="B37" s="768"/>
      <c r="C37" s="769"/>
      <c r="D37" s="752"/>
      <c r="E37" s="158"/>
      <c r="F37" s="158"/>
      <c r="G37" s="158"/>
      <c r="H37" s="158"/>
      <c r="I37" s="158"/>
      <c r="J37" s="232"/>
    </row>
    <row r="38" spans="2:10" ht="16.5" customHeight="1">
      <c r="B38" s="916" t="s">
        <v>891</v>
      </c>
      <c r="C38" s="925" t="s">
        <v>672</v>
      </c>
      <c r="D38" s="770"/>
      <c r="E38" s="158"/>
      <c r="F38" s="158"/>
      <c r="G38" s="158"/>
      <c r="H38" s="158"/>
      <c r="I38" s="158"/>
      <c r="J38" s="232"/>
    </row>
    <row r="39" spans="2:10" ht="15" customHeight="1">
      <c r="B39" s="916" t="s">
        <v>892</v>
      </c>
      <c r="C39" s="925" t="s">
        <v>889</v>
      </c>
      <c r="D39" s="770"/>
      <c r="E39" s="158"/>
      <c r="F39" s="158"/>
      <c r="G39" s="158"/>
      <c r="H39" s="158"/>
      <c r="I39" s="158"/>
      <c r="J39" s="232"/>
    </row>
    <row r="40" spans="2:10" ht="15" customHeight="1">
      <c r="B40" s="916" t="s">
        <v>893</v>
      </c>
      <c r="C40" s="925" t="s">
        <v>890</v>
      </c>
      <c r="D40" s="770"/>
      <c r="E40" s="158"/>
      <c r="F40" s="158"/>
      <c r="G40" s="158"/>
      <c r="H40" s="158"/>
      <c r="I40" s="158"/>
      <c r="J40" s="232"/>
    </row>
    <row r="41" spans="2:10" ht="15" customHeight="1">
      <c r="B41" s="916" t="s">
        <v>894</v>
      </c>
      <c r="C41" s="925" t="s">
        <v>895</v>
      </c>
      <c r="D41" s="770"/>
      <c r="E41" s="158"/>
      <c r="F41" s="158"/>
      <c r="G41" s="158"/>
      <c r="H41" s="158"/>
      <c r="I41" s="158"/>
      <c r="J41" s="232"/>
    </row>
    <row r="42" spans="2:10" ht="15" customHeight="1">
      <c r="B42" s="916" t="s">
        <v>896</v>
      </c>
      <c r="C42" s="925" t="s">
        <v>895</v>
      </c>
      <c r="D42" s="770"/>
      <c r="E42" s="158"/>
      <c r="F42" s="158"/>
      <c r="G42" s="158"/>
      <c r="H42" s="158"/>
      <c r="I42" s="158"/>
      <c r="J42" s="232"/>
    </row>
    <row r="43" spans="2:10" ht="15" customHeight="1">
      <c r="B43" s="916" t="s">
        <v>897</v>
      </c>
      <c r="C43" s="925" t="s">
        <v>898</v>
      </c>
      <c r="D43" s="770"/>
      <c r="E43" s="158"/>
      <c r="F43" s="158"/>
      <c r="G43" s="158"/>
      <c r="H43" s="158"/>
      <c r="I43" s="158"/>
      <c r="J43" s="232"/>
    </row>
    <row r="44" spans="2:10" ht="15" customHeight="1">
      <c r="B44" s="916" t="s">
        <v>899</v>
      </c>
      <c r="C44" s="925" t="s">
        <v>895</v>
      </c>
      <c r="D44" s="770"/>
      <c r="E44" s="158"/>
      <c r="F44" s="158"/>
      <c r="G44" s="158"/>
      <c r="H44" s="158"/>
      <c r="I44" s="158"/>
      <c r="J44" s="232"/>
    </row>
    <row r="45" spans="2:10" ht="15" customHeight="1">
      <c r="B45" s="916" t="s">
        <v>900</v>
      </c>
      <c r="C45" s="925" t="s">
        <v>901</v>
      </c>
      <c r="D45" s="770"/>
      <c r="E45" s="158"/>
      <c r="F45" s="158"/>
      <c r="G45" s="158"/>
      <c r="H45" s="158"/>
      <c r="I45" s="158"/>
      <c r="J45" s="232"/>
    </row>
    <row r="46" spans="2:10" ht="15" customHeight="1">
      <c r="B46" s="916" t="s">
        <v>902</v>
      </c>
      <c r="C46" s="925" t="s">
        <v>895</v>
      </c>
      <c r="D46" s="770"/>
      <c r="E46" s="158"/>
      <c r="F46" s="158"/>
      <c r="G46" s="158"/>
      <c r="H46" s="158"/>
      <c r="I46" s="158"/>
      <c r="J46" s="232"/>
    </row>
    <row r="47" spans="2:10" ht="15" customHeight="1">
      <c r="B47" s="916" t="s">
        <v>903</v>
      </c>
      <c r="C47" s="925" t="s">
        <v>895</v>
      </c>
      <c r="D47" s="770"/>
      <c r="E47" s="158"/>
      <c r="F47" s="158"/>
      <c r="G47" s="158"/>
      <c r="H47" s="158"/>
      <c r="I47" s="158"/>
      <c r="J47" s="232"/>
    </row>
    <row r="48" spans="2:10" ht="15" customHeight="1">
      <c r="B48" s="916" t="s">
        <v>904</v>
      </c>
      <c r="C48" s="925" t="s">
        <v>895</v>
      </c>
      <c r="D48" s="770"/>
      <c r="E48" s="158"/>
      <c r="F48" s="158"/>
      <c r="G48" s="158"/>
      <c r="H48" s="158"/>
      <c r="I48" s="158"/>
      <c r="J48" s="232"/>
    </row>
    <row r="49" spans="2:10" ht="15" customHeight="1">
      <c r="B49" s="916" t="s">
        <v>905</v>
      </c>
      <c r="C49" s="925" t="s">
        <v>895</v>
      </c>
      <c r="D49" s="771"/>
      <c r="E49" s="158"/>
      <c r="F49" s="158"/>
      <c r="G49" s="158"/>
      <c r="H49" s="158"/>
      <c r="I49" s="158"/>
      <c r="J49" s="232"/>
    </row>
    <row r="50" spans="2:10" ht="15" customHeight="1">
      <c r="B50" s="916" t="s">
        <v>906</v>
      </c>
      <c r="C50" s="925" t="s">
        <v>673</v>
      </c>
      <c r="D50" s="770"/>
      <c r="E50" s="158"/>
      <c r="F50" s="158"/>
      <c r="G50" s="158"/>
      <c r="H50" s="158"/>
      <c r="I50" s="158"/>
      <c r="J50" s="232"/>
    </row>
    <row r="51" spans="2:10" ht="15" customHeight="1">
      <c r="B51" s="757"/>
      <c r="C51" s="158"/>
      <c r="D51" s="770"/>
      <c r="E51" s="158"/>
      <c r="F51" s="158"/>
      <c r="G51" s="158"/>
      <c r="H51" s="158"/>
      <c r="I51" s="158"/>
      <c r="J51" s="232"/>
    </row>
    <row r="52" spans="2:10" ht="15" customHeight="1">
      <c r="B52" s="231"/>
      <c r="C52" s="158"/>
      <c r="D52" s="158"/>
      <c r="E52" s="158"/>
      <c r="F52" s="158"/>
      <c r="G52" s="158"/>
      <c r="H52" s="158"/>
      <c r="I52" s="158"/>
      <c r="J52" s="232"/>
    </row>
    <row r="53" spans="2:10" ht="20.25" customHeight="1">
      <c r="B53" s="756" t="s">
        <v>674</v>
      </c>
      <c r="C53" s="158"/>
      <c r="D53" s="158"/>
      <c r="E53" s="158"/>
      <c r="F53" s="158"/>
      <c r="G53" s="158"/>
      <c r="H53" s="158"/>
      <c r="I53" s="158"/>
      <c r="J53" s="232"/>
    </row>
    <row r="54" spans="2:10" ht="15" customHeight="1">
      <c r="B54" s="231"/>
      <c r="C54" s="158"/>
      <c r="D54" s="158"/>
      <c r="E54" s="158"/>
      <c r="F54" s="158"/>
      <c r="G54" s="158"/>
      <c r="H54" s="158"/>
      <c r="I54" s="158"/>
      <c r="J54" s="232"/>
    </row>
    <row r="55" spans="2:10" ht="15" customHeight="1">
      <c r="B55" s="768" t="s">
        <v>669</v>
      </c>
      <c r="C55" s="758"/>
      <c r="D55" s="158"/>
      <c r="E55" s="158"/>
      <c r="F55" s="158"/>
      <c r="G55" s="158"/>
      <c r="H55" s="158"/>
      <c r="I55" s="158"/>
      <c r="J55" s="232"/>
    </row>
    <row r="56" spans="2:10" ht="15" customHeight="1" thickBot="1">
      <c r="B56" s="319"/>
      <c r="C56" s="316"/>
      <c r="D56" s="316"/>
      <c r="E56" s="316"/>
      <c r="F56" s="316"/>
      <c r="G56" s="316"/>
      <c r="H56" s="316"/>
      <c r="I56" s="316"/>
      <c r="J56" s="320"/>
    </row>
    <row r="57" spans="2:6" ht="13.5" customHeight="1">
      <c r="B57" s="158" t="s">
        <v>888</v>
      </c>
      <c r="C57" s="158"/>
      <c r="D57" s="158"/>
      <c r="E57" s="158"/>
      <c r="F57" s="158"/>
    </row>
    <row r="58" spans="2:6" ht="13.5" customHeight="1">
      <c r="B58" s="158"/>
      <c r="C58" s="158"/>
      <c r="D58" s="158"/>
      <c r="E58" s="158"/>
      <c r="F58" s="158"/>
    </row>
    <row r="59" ht="13.5" customHeight="1"/>
    <row r="60" ht="13.5" customHeight="1"/>
    <row r="61" ht="13.5" customHeight="1"/>
  </sheetData>
  <sheetProtection/>
  <mergeCells count="6">
    <mergeCell ref="G8:J8"/>
    <mergeCell ref="G23:J23"/>
    <mergeCell ref="B3:I3"/>
    <mergeCell ref="J3:J4"/>
    <mergeCell ref="B4:I4"/>
    <mergeCell ref="B5:J5"/>
  </mergeCells>
  <dataValidations count="1">
    <dataValidation allowBlank="1" showInputMessage="1" showErrorMessage="1" promptTitle="ENTIDAD BENEFICIARIA:" prompt=" Entidad del grupo,asociada o cualquier otra en la cual se realiza la inversión." sqref="B26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2:M26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748" bestFit="1" customWidth="1"/>
    <col min="10" max="10" width="12.7109375" style="927" bestFit="1" customWidth="1"/>
    <col min="11" max="11" width="16.8515625" style="0" bestFit="1" customWidth="1"/>
    <col min="12" max="12" width="12.7109375" style="0" bestFit="1" customWidth="1"/>
    <col min="13" max="13" width="14.421875" style="0" bestFit="1" customWidth="1"/>
  </cols>
  <sheetData>
    <row r="1" ht="13.5" thickBot="1"/>
    <row r="2" spans="1:9" ht="51" customHeight="1">
      <c r="A2" s="749">
        <v>1</v>
      </c>
      <c r="B2" s="1052" t="s">
        <v>131</v>
      </c>
      <c r="C2" s="1053"/>
      <c r="D2" s="1053"/>
      <c r="E2" s="1053"/>
      <c r="F2" s="1053"/>
      <c r="G2" s="1053"/>
      <c r="H2" s="1053"/>
      <c r="I2" s="735">
        <f>'ORGANOS DE GOBIERNO'!I3</f>
        <v>2017</v>
      </c>
    </row>
    <row r="3" spans="2:9" ht="24" customHeight="1">
      <c r="B3" s="1462" t="str">
        <f>'ORGANOS DE GOBIERNO'!B4:I4</f>
        <v>ENTIDAD: SPET</v>
      </c>
      <c r="C3" s="1463"/>
      <c r="D3" s="1463"/>
      <c r="E3" s="1463"/>
      <c r="F3" s="1463"/>
      <c r="G3" s="1463"/>
      <c r="H3" s="1463"/>
      <c r="I3" s="1464"/>
    </row>
    <row r="4" spans="2:9" ht="12.75">
      <c r="B4" s="737"/>
      <c r="C4" s="738"/>
      <c r="D4" s="738"/>
      <c r="E4" s="738"/>
      <c r="F4" s="738"/>
      <c r="G4" s="738"/>
      <c r="H4" s="738"/>
      <c r="I4" s="926"/>
    </row>
    <row r="5" spans="2:9" ht="16.5" thickBot="1">
      <c r="B5" s="740" t="s">
        <v>644</v>
      </c>
      <c r="C5" s="741"/>
      <c r="D5" s="741"/>
      <c r="E5" s="738"/>
      <c r="F5" s="738"/>
      <c r="G5" s="738"/>
      <c r="H5" s="738"/>
      <c r="I5" s="926"/>
    </row>
    <row r="6" spans="2:10" ht="13.5" thickBot="1">
      <c r="B6" s="737"/>
      <c r="C6" s="738"/>
      <c r="D6" s="738"/>
      <c r="E6" s="738"/>
      <c r="F6" s="738"/>
      <c r="G6" s="738"/>
      <c r="H6" s="738"/>
      <c r="I6" s="926"/>
      <c r="J6" s="930" t="s">
        <v>120</v>
      </c>
    </row>
    <row r="7" spans="2:10" ht="12.75">
      <c r="B7" s="742" t="s">
        <v>645</v>
      </c>
      <c r="C7" s="741" t="s">
        <v>646</v>
      </c>
      <c r="D7" s="741"/>
      <c r="E7" s="738"/>
      <c r="F7" s="738"/>
      <c r="G7" s="738"/>
      <c r="H7" s="738"/>
      <c r="I7" s="933">
        <f>SUM(I9:I11)</f>
        <v>0.04395386574473896</v>
      </c>
      <c r="J7" s="928"/>
    </row>
    <row r="8" spans="2:10" ht="12.75">
      <c r="B8" s="737"/>
      <c r="C8" s="738"/>
      <c r="D8" s="738"/>
      <c r="E8" s="738"/>
      <c r="F8" s="738"/>
      <c r="G8" s="738"/>
      <c r="H8" s="738"/>
      <c r="I8" s="926"/>
      <c r="J8" s="928"/>
    </row>
    <row r="9" spans="2:11" ht="12.75">
      <c r="B9" s="737"/>
      <c r="C9" s="738" t="s">
        <v>647</v>
      </c>
      <c r="D9" s="738" t="s">
        <v>648</v>
      </c>
      <c r="E9" s="738"/>
      <c r="F9" s="738"/>
      <c r="G9" s="738"/>
      <c r="H9" s="738"/>
      <c r="I9" s="934">
        <f>(J9/$J$24)</f>
        <v>0.009803836225592333</v>
      </c>
      <c r="J9" s="928">
        <f>('INF. ADIC. CPYG '!K7+'INF. ADIC. CPYG '!K10)</f>
        <v>120000</v>
      </c>
      <c r="K9" s="935" t="s">
        <v>925</v>
      </c>
    </row>
    <row r="10" spans="2:11" ht="12.75">
      <c r="B10" s="737"/>
      <c r="C10" s="738" t="s">
        <v>649</v>
      </c>
      <c r="D10" s="738" t="s">
        <v>650</v>
      </c>
      <c r="E10" s="738"/>
      <c r="F10" s="738"/>
      <c r="G10" s="738"/>
      <c r="H10" s="738"/>
      <c r="I10" s="934">
        <f>(J10/$J$24)</f>
        <v>0.00147057543383885</v>
      </c>
      <c r="J10" s="928">
        <v>18000</v>
      </c>
      <c r="K10" s="935" t="s">
        <v>923</v>
      </c>
    </row>
    <row r="11" spans="2:11" ht="12.75">
      <c r="B11" s="737"/>
      <c r="C11" s="738" t="s">
        <v>651</v>
      </c>
      <c r="D11" s="931" t="s">
        <v>652</v>
      </c>
      <c r="E11" s="931"/>
      <c r="F11" s="931"/>
      <c r="G11" s="738"/>
      <c r="H11" s="738"/>
      <c r="I11" s="934">
        <f>(J11/$J$24)</f>
        <v>0.03267945408530778</v>
      </c>
      <c r="J11" s="928">
        <v>400000</v>
      </c>
      <c r="K11" s="935" t="s">
        <v>924</v>
      </c>
    </row>
    <row r="12" spans="2:10" ht="15" customHeight="1" thickBot="1">
      <c r="B12" s="737"/>
      <c r="C12" s="738"/>
      <c r="D12" s="738"/>
      <c r="E12" s="738"/>
      <c r="F12" s="738"/>
      <c r="G12" s="738"/>
      <c r="H12" s="738"/>
      <c r="I12" s="926"/>
      <c r="J12" s="928"/>
    </row>
    <row r="13" spans="2:13" ht="13.5" thickBot="1">
      <c r="B13" s="742" t="s">
        <v>653</v>
      </c>
      <c r="C13" s="741" t="s">
        <v>654</v>
      </c>
      <c r="D13" s="738"/>
      <c r="E13" s="738"/>
      <c r="F13" s="738"/>
      <c r="G13" s="738"/>
      <c r="H13" s="738"/>
      <c r="I13" s="933">
        <f>(J13/J24)</f>
        <v>0.06592501762168075</v>
      </c>
      <c r="J13" s="928">
        <f>('INF. ADIC. CPYG '!K28+'INF. ADIC. CPYG '!K29)</f>
        <v>806929.24</v>
      </c>
      <c r="L13" s="948">
        <f>SUM(J9:J13)</f>
        <v>1344929.24</v>
      </c>
      <c r="M13" s="949" t="s">
        <v>928</v>
      </c>
    </row>
    <row r="14" spans="2:10" ht="12.75">
      <c r="B14" s="742" t="s">
        <v>655</v>
      </c>
      <c r="C14" s="741" t="s">
        <v>656</v>
      </c>
      <c r="D14" s="738"/>
      <c r="E14" s="738"/>
      <c r="F14" s="738"/>
      <c r="G14" s="738"/>
      <c r="H14" s="738"/>
      <c r="I14" s="933">
        <f>SUM(I16:I18)</f>
        <v>0.8894001645761818</v>
      </c>
      <c r="J14" s="928"/>
    </row>
    <row r="15" spans="2:12" ht="12.75">
      <c r="B15" s="737"/>
      <c r="C15" s="738"/>
      <c r="D15" s="738"/>
      <c r="E15" s="738"/>
      <c r="F15" s="738"/>
      <c r="G15" s="738"/>
      <c r="H15" s="738"/>
      <c r="I15" s="926"/>
      <c r="J15" s="928"/>
      <c r="L15" s="748"/>
    </row>
    <row r="16" spans="2:12" ht="12.75">
      <c r="B16" s="737"/>
      <c r="C16" s="738" t="s">
        <v>647</v>
      </c>
      <c r="D16" s="738" t="s">
        <v>657</v>
      </c>
      <c r="E16" s="738"/>
      <c r="F16" s="738"/>
      <c r="G16" s="738"/>
      <c r="H16" s="738"/>
      <c r="I16" s="934">
        <f>(J16/J24)</f>
        <v>0.8540776779430895</v>
      </c>
      <c r="J16" s="928">
        <f>(CPYG!E26)</f>
        <v>10454001.780000001</v>
      </c>
      <c r="L16" s="748"/>
    </row>
    <row r="17" spans="2:12" ht="13.5" thickBot="1">
      <c r="B17" s="737"/>
      <c r="C17" s="738" t="s">
        <v>649</v>
      </c>
      <c r="D17" s="738" t="s">
        <v>658</v>
      </c>
      <c r="E17" s="738"/>
      <c r="F17" s="738"/>
      <c r="G17" s="738"/>
      <c r="H17" s="738"/>
      <c r="I17" s="934">
        <f>(J17/J24)</f>
        <v>0.03532248663309226</v>
      </c>
      <c r="J17" s="928">
        <f>(CPYG!E25+CPYG!E27)</f>
        <v>432351</v>
      </c>
      <c r="L17" s="748"/>
    </row>
    <row r="18" spans="2:13" ht="13.5" thickBot="1">
      <c r="B18" s="737"/>
      <c r="C18" s="738" t="s">
        <v>651</v>
      </c>
      <c r="D18" s="738" t="s">
        <v>659</v>
      </c>
      <c r="E18" s="738"/>
      <c r="F18" s="738"/>
      <c r="G18" s="738"/>
      <c r="H18" s="738"/>
      <c r="I18" s="934">
        <f>(J18/J24)</f>
        <v>0</v>
      </c>
      <c r="J18" s="928"/>
      <c r="L18" s="948">
        <f>SUM(J16:J18)</f>
        <v>10886352.780000001</v>
      </c>
      <c r="M18" s="949" t="s">
        <v>684</v>
      </c>
    </row>
    <row r="19" spans="2:10" ht="12.75">
      <c r="B19" s="737"/>
      <c r="C19" s="738"/>
      <c r="D19" s="738"/>
      <c r="E19" s="738"/>
      <c r="F19" s="738"/>
      <c r="G19" s="738"/>
      <c r="H19" s="738"/>
      <c r="I19" s="926"/>
      <c r="J19" s="928"/>
    </row>
    <row r="20" spans="2:12" ht="12.75">
      <c r="B20" s="742" t="s">
        <v>660</v>
      </c>
      <c r="C20" s="741" t="s">
        <v>661</v>
      </c>
      <c r="D20" s="738"/>
      <c r="E20" s="738"/>
      <c r="F20" s="738"/>
      <c r="G20" s="738"/>
      <c r="H20" s="738"/>
      <c r="I20" s="933">
        <f>(J20/J24)</f>
        <v>0.0007209520573985525</v>
      </c>
      <c r="J20" s="928">
        <f>(CPYG!E46+CPYG!E66)</f>
        <v>8824.529999999999</v>
      </c>
      <c r="L20" s="748"/>
    </row>
    <row r="21" spans="2:10" ht="5.25" customHeight="1">
      <c r="B21" s="737"/>
      <c r="C21" s="738"/>
      <c r="D21" s="738"/>
      <c r="E21" s="738"/>
      <c r="F21" s="738"/>
      <c r="G21" s="738"/>
      <c r="H21" s="738"/>
      <c r="I21" s="926"/>
      <c r="J21" s="928"/>
    </row>
    <row r="22" spans="2:10" ht="21" customHeight="1">
      <c r="B22" s="737"/>
      <c r="C22" s="738"/>
      <c r="D22" s="1461" t="s">
        <v>919</v>
      </c>
      <c r="E22" s="1461"/>
      <c r="F22" s="1461"/>
      <c r="G22" s="1461"/>
      <c r="H22" s="1461"/>
      <c r="I22" s="926"/>
      <c r="J22" s="928"/>
    </row>
    <row r="23" spans="2:12" ht="12.75">
      <c r="B23" s="737"/>
      <c r="C23" s="738"/>
      <c r="D23" s="738"/>
      <c r="E23" s="738"/>
      <c r="F23" s="738"/>
      <c r="G23" s="738"/>
      <c r="H23" s="738"/>
      <c r="I23" s="926"/>
      <c r="J23" s="928"/>
      <c r="L23" s="748"/>
    </row>
    <row r="24" spans="2:10" ht="12.75">
      <c r="B24" s="742" t="s">
        <v>662</v>
      </c>
      <c r="C24" s="738"/>
      <c r="D24" s="738"/>
      <c r="E24" s="738"/>
      <c r="F24" s="738"/>
      <c r="G24" s="738"/>
      <c r="H24" s="738"/>
      <c r="I24" s="933">
        <f>(J24/J24)</f>
        <v>1</v>
      </c>
      <c r="J24" s="928">
        <f>SUM(J7:J23)</f>
        <v>12240106.55</v>
      </c>
    </row>
    <row r="25" spans="2:10" ht="13.5" thickBot="1">
      <c r="B25" s="745"/>
      <c r="C25" s="746"/>
      <c r="D25" s="746"/>
      <c r="E25" s="746"/>
      <c r="F25" s="746"/>
      <c r="G25" s="746"/>
      <c r="H25" s="746"/>
      <c r="I25" s="750"/>
      <c r="J25" s="929">
        <v>1903196.01</v>
      </c>
    </row>
    <row r="26" spans="10:12" ht="12.75">
      <c r="J26" s="927">
        <f>+J24+J25</f>
        <v>14143302.56</v>
      </c>
      <c r="K26" s="927"/>
      <c r="L26" s="748"/>
    </row>
  </sheetData>
  <sheetProtection/>
  <mergeCells count="3">
    <mergeCell ref="B2:H2"/>
    <mergeCell ref="D22:H22"/>
    <mergeCell ref="B3:I3"/>
  </mergeCells>
  <printOptions/>
  <pageMargins left="0.75" right="0.75" top="1" bottom="1" header="0" footer="0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G93"/>
  <sheetViews>
    <sheetView zoomScalePageLayoutView="0" workbookViewId="0" topLeftCell="A55">
      <selection activeCell="D29" sqref="D29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1074" t="s">
        <v>502</v>
      </c>
      <c r="C2" s="1074"/>
      <c r="D2" s="1074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1075" t="str">
        <f>'ORGANOS DE GOBIERNO'!B4:I4</f>
        <v>ENTIDAD: SPET</v>
      </c>
      <c r="C4" s="1076"/>
      <c r="D4" s="1077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1078" t="s">
        <v>428</v>
      </c>
      <c r="C6" s="1076"/>
      <c r="D6" s="1077"/>
    </row>
    <row r="7" ht="15" customHeight="1" thickBot="1"/>
    <row r="8" spans="2:4" ht="12.75">
      <c r="B8" s="1079" t="s">
        <v>696</v>
      </c>
      <c r="C8" s="1080"/>
      <c r="D8" s="1465"/>
    </row>
    <row r="9" spans="2:4" ht="13.5" customHeight="1" thickBot="1">
      <c r="B9" s="1081"/>
      <c r="C9" s="1082"/>
      <c r="D9" s="1466"/>
    </row>
    <row r="10" spans="2:4" ht="12.75" customHeight="1">
      <c r="B10" s="151"/>
      <c r="C10" s="152"/>
      <c r="D10" s="160"/>
    </row>
    <row r="11" spans="2:7" ht="12.75">
      <c r="B11" s="138" t="s">
        <v>698</v>
      </c>
      <c r="C11" s="139" t="s">
        <v>784</v>
      </c>
      <c r="D11" s="491">
        <v>0</v>
      </c>
      <c r="F11" s="169"/>
      <c r="G11" s="169"/>
    </row>
    <row r="12" spans="2:7" ht="12.75">
      <c r="B12" s="138" t="s">
        <v>699</v>
      </c>
      <c r="C12" s="139" t="s">
        <v>785</v>
      </c>
      <c r="D12" s="491">
        <v>0</v>
      </c>
      <c r="F12" s="169"/>
      <c r="G12" s="169"/>
    </row>
    <row r="13" spans="2:7" ht="12.75">
      <c r="B13" s="138" t="s">
        <v>700</v>
      </c>
      <c r="C13" s="139" t="s">
        <v>786</v>
      </c>
      <c r="D13" s="491">
        <f>CPYG!E7+CPYG!E21+CPYG!E19</f>
        <v>1344929.24</v>
      </c>
      <c r="F13" s="169"/>
      <c r="G13" s="169"/>
    </row>
    <row r="14" spans="2:7" ht="12.75">
      <c r="B14" s="138" t="s">
        <v>701</v>
      </c>
      <c r="C14" s="139" t="s">
        <v>787</v>
      </c>
      <c r="D14" s="491">
        <f>CPYG!E22</f>
        <v>10886352.780000001</v>
      </c>
      <c r="F14" s="169"/>
      <c r="G14" s="169"/>
    </row>
    <row r="15" spans="2:7" ht="12.75">
      <c r="B15" s="138" t="s">
        <v>702</v>
      </c>
      <c r="C15" s="139" t="s">
        <v>788</v>
      </c>
      <c r="D15" s="491">
        <f>CPYG!E20+CPYG!E67+CPYG!E70+CPYG!E86</f>
        <v>3000</v>
      </c>
      <c r="F15" s="169"/>
      <c r="G15" s="169"/>
    </row>
    <row r="16" spans="2:7" ht="12.75">
      <c r="B16" s="141"/>
      <c r="C16" s="142"/>
      <c r="D16" s="492"/>
      <c r="F16" s="169"/>
      <c r="G16" s="169"/>
    </row>
    <row r="17" spans="2:6" ht="12.75">
      <c r="B17" s="144" t="s">
        <v>703</v>
      </c>
      <c r="C17" s="145"/>
      <c r="D17" s="493">
        <f>SUM(D11:D15)</f>
        <v>12234282.020000001</v>
      </c>
      <c r="F17" s="169"/>
    </row>
    <row r="18" spans="2:4" ht="12.75">
      <c r="B18" s="147"/>
      <c r="C18" s="148"/>
      <c r="D18" s="494"/>
    </row>
    <row r="19" spans="2:4" ht="12.75">
      <c r="B19" s="141"/>
      <c r="C19" s="142"/>
      <c r="D19" s="492"/>
    </row>
    <row r="20" spans="2:4" ht="12.75">
      <c r="B20" s="138" t="s">
        <v>704</v>
      </c>
      <c r="C20" s="139" t="s">
        <v>789</v>
      </c>
      <c r="D20" s="492"/>
    </row>
    <row r="21" spans="2:4" ht="12.75">
      <c r="B21" s="138" t="s">
        <v>705</v>
      </c>
      <c r="C21" s="139" t="s">
        <v>790</v>
      </c>
      <c r="D21" s="492"/>
    </row>
    <row r="22" spans="2:4" ht="12.75">
      <c r="B22" s="141"/>
      <c r="C22" s="142"/>
      <c r="D22" s="492"/>
    </row>
    <row r="23" spans="2:4" ht="12.75">
      <c r="B23" s="144" t="s">
        <v>706</v>
      </c>
      <c r="C23" s="145"/>
      <c r="D23" s="493">
        <f>+D20+D21</f>
        <v>0</v>
      </c>
    </row>
    <row r="24" spans="2:4" ht="12.75">
      <c r="B24" s="147"/>
      <c r="C24" s="148"/>
      <c r="D24" s="494"/>
    </row>
    <row r="25" spans="2:4" ht="12.75">
      <c r="B25" s="141"/>
      <c r="C25" s="142"/>
      <c r="D25" s="492"/>
    </row>
    <row r="26" spans="2:4" ht="12.75">
      <c r="B26" s="138" t="s">
        <v>707</v>
      </c>
      <c r="C26" s="139" t="s">
        <v>791</v>
      </c>
      <c r="D26" s="491"/>
    </row>
    <row r="27" spans="2:4" ht="12.75">
      <c r="B27" s="138" t="s">
        <v>708</v>
      </c>
      <c r="C27" s="139" t="s">
        <v>792</v>
      </c>
      <c r="D27" s="491"/>
    </row>
    <row r="28" spans="2:4" ht="12.75">
      <c r="B28" s="141"/>
      <c r="C28" s="142"/>
      <c r="D28" s="492"/>
    </row>
    <row r="29" spans="2:4" ht="13.5" thickBot="1">
      <c r="B29" s="209" t="s">
        <v>709</v>
      </c>
      <c r="C29" s="496"/>
      <c r="D29" s="495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97"/>
    </row>
    <row r="32" spans="2:4" ht="12.75">
      <c r="B32" s="154"/>
      <c r="C32" s="156" t="s">
        <v>710</v>
      </c>
      <c r="D32" s="498">
        <f>+D29+D23+D17</f>
        <v>12234282.020000001</v>
      </c>
    </row>
    <row r="33" spans="2:4" ht="13.5" thickBot="1">
      <c r="B33" s="164"/>
      <c r="C33" s="203"/>
      <c r="D33" s="499"/>
    </row>
    <row r="34" spans="2:4" ht="12.75">
      <c r="B34" s="206"/>
      <c r="C34" s="502"/>
      <c r="D34" s="500"/>
    </row>
    <row r="35" spans="2:4" ht="12.75">
      <c r="B35" s="200"/>
      <c r="C35" s="201" t="s">
        <v>711</v>
      </c>
      <c r="D35" s="160">
        <f>CPYG!E9+CPYG!E11+CPYG!E53+CPYG!E47+CPYG!E46+CPYG!E78+CPYG!E57+CPYG!E73</f>
        <v>5824.53</v>
      </c>
    </row>
    <row r="36" spans="2:4" ht="13.5" thickBot="1">
      <c r="B36" s="208"/>
      <c r="C36" s="503"/>
      <c r="D36" s="501"/>
    </row>
    <row r="37" spans="2:4" ht="12.75">
      <c r="B37" s="161"/>
      <c r="C37" s="162"/>
      <c r="D37" s="497"/>
    </row>
    <row r="38" spans="2:4" ht="12.75">
      <c r="B38" s="1088" t="s">
        <v>429</v>
      </c>
      <c r="C38" s="1089"/>
      <c r="D38" s="498">
        <f>D32+D35</f>
        <v>12240106.55</v>
      </c>
    </row>
    <row r="39" spans="2:4" ht="13.5" thickBot="1">
      <c r="B39" s="164"/>
      <c r="C39" s="203"/>
      <c r="D39" s="499"/>
    </row>
    <row r="41" ht="13.5" thickBot="1"/>
    <row r="42" spans="2:4" ht="12.75">
      <c r="B42" s="1079" t="s">
        <v>696</v>
      </c>
      <c r="C42" s="1080"/>
      <c r="D42" s="1467"/>
    </row>
    <row r="43" spans="2:4" ht="13.5" customHeight="1" thickBot="1">
      <c r="B43" s="1081"/>
      <c r="C43" s="1082"/>
      <c r="D43" s="1468"/>
    </row>
    <row r="44" spans="2:4" ht="12.75" customHeight="1">
      <c r="B44" s="151"/>
      <c r="C44" s="152"/>
      <c r="D44" s="504"/>
    </row>
    <row r="45" spans="2:4" ht="12.75">
      <c r="B45" s="138" t="s">
        <v>698</v>
      </c>
      <c r="C45" s="167" t="s">
        <v>712</v>
      </c>
      <c r="D45" s="505">
        <f>-CPYG!E29+CPYG!E35</f>
        <v>1977829.09</v>
      </c>
    </row>
    <row r="46" spans="2:4" ht="12.75">
      <c r="B46" s="138" t="s">
        <v>699</v>
      </c>
      <c r="C46" s="167" t="s">
        <v>713</v>
      </c>
      <c r="D46" s="506">
        <f>-CPYG!E12+CPYG!E16-CPYG!E38-CPYG!E39-CPYG!E90-CPYG!E41</f>
        <v>12237733.7</v>
      </c>
    </row>
    <row r="47" spans="2:4" ht="12.75">
      <c r="B47" s="138" t="s">
        <v>700</v>
      </c>
      <c r="C47" s="167" t="s">
        <v>137</v>
      </c>
      <c r="D47" s="506">
        <f>-CPYG!E75-CPYG!E76-CPYG!E87</f>
        <v>3000</v>
      </c>
    </row>
    <row r="48" spans="2:4" ht="12.75">
      <c r="B48" s="138" t="s">
        <v>701</v>
      </c>
      <c r="C48" s="167" t="s">
        <v>714</v>
      </c>
      <c r="D48" s="506">
        <f>CPYG!E58</f>
        <v>0</v>
      </c>
    </row>
    <row r="49" spans="2:4" ht="12.75">
      <c r="B49" s="151"/>
      <c r="C49" s="152"/>
      <c r="D49" s="506"/>
    </row>
    <row r="50" spans="2:4" ht="12.75">
      <c r="B50" s="144" t="s">
        <v>715</v>
      </c>
      <c r="C50" s="145"/>
      <c r="D50" s="507">
        <f>SUM(D45:D48)</f>
        <v>14218562.79</v>
      </c>
    </row>
    <row r="51" spans="2:4" ht="12.75">
      <c r="B51" s="147"/>
      <c r="C51" s="148"/>
      <c r="D51" s="508"/>
    </row>
    <row r="52" spans="2:4" ht="12.75">
      <c r="B52" s="151"/>
      <c r="C52" s="152"/>
      <c r="D52" s="504"/>
    </row>
    <row r="53" spans="2:4" ht="12.75">
      <c r="B53" s="138" t="s">
        <v>704</v>
      </c>
      <c r="C53" s="167" t="s">
        <v>717</v>
      </c>
      <c r="D53" s="506"/>
    </row>
    <row r="54" spans="2:4" ht="12.75">
      <c r="B54" s="138" t="s">
        <v>705</v>
      </c>
      <c r="C54" s="167" t="s">
        <v>718</v>
      </c>
      <c r="D54" s="506"/>
    </row>
    <row r="55" spans="2:4" ht="12.75">
      <c r="B55" s="151"/>
      <c r="C55" s="152"/>
      <c r="D55" s="504"/>
    </row>
    <row r="56" spans="2:4" ht="12.75">
      <c r="B56" s="144" t="s">
        <v>719</v>
      </c>
      <c r="C56" s="145"/>
      <c r="D56" s="507">
        <f>+D54+D53</f>
        <v>0</v>
      </c>
    </row>
    <row r="57" spans="2:4" ht="12.75">
      <c r="B57" s="147"/>
      <c r="C57" s="148"/>
      <c r="D57" s="508"/>
    </row>
    <row r="58" spans="2:4" ht="12.75">
      <c r="B58" s="151"/>
      <c r="C58" s="152"/>
      <c r="D58" s="504"/>
    </row>
    <row r="59" spans="2:4" ht="12.75">
      <c r="B59" s="138" t="s">
        <v>707</v>
      </c>
      <c r="C59" s="167" t="s">
        <v>721</v>
      </c>
      <c r="D59" s="506"/>
    </row>
    <row r="60" spans="2:4" ht="12.75">
      <c r="B60" s="138" t="s">
        <v>708</v>
      </c>
      <c r="C60" s="167" t="s">
        <v>722</v>
      </c>
      <c r="D60" s="506"/>
    </row>
    <row r="61" spans="2:4" ht="12.75">
      <c r="B61" s="151"/>
      <c r="C61" s="152"/>
      <c r="D61" s="504"/>
    </row>
    <row r="62" spans="2:4" ht="13.5" thickBot="1">
      <c r="B62" s="209" t="s">
        <v>723</v>
      </c>
      <c r="C62" s="496"/>
      <c r="D62" s="495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97"/>
    </row>
    <row r="65" spans="2:4" ht="12.75">
      <c r="B65" s="154"/>
      <c r="C65" s="156" t="s">
        <v>726</v>
      </c>
      <c r="D65" s="498">
        <f>+D62+D56+D50</f>
        <v>14218562.79</v>
      </c>
    </row>
    <row r="66" spans="2:4" ht="13.5" thickBot="1">
      <c r="B66" s="164"/>
      <c r="C66" s="203"/>
      <c r="D66" s="499"/>
    </row>
    <row r="67" spans="2:4" ht="12.75">
      <c r="B67" s="207"/>
      <c r="C67" s="513"/>
      <c r="D67" s="509"/>
    </row>
    <row r="68" spans="2:4" ht="12.75">
      <c r="B68" s="200"/>
      <c r="C68" s="201" t="s">
        <v>725</v>
      </c>
      <c r="D68" s="510">
        <f>-CPYG!E10-CPYG!E16-CPYG!E49-CPYG!E35-CPYG!E42-CPYG!E40-CPYG!E77-CPYG!E81-CPYG!E82</f>
        <v>77739.77</v>
      </c>
    </row>
    <row r="69" spans="2:4" ht="14.25" customHeight="1" thickBot="1">
      <c r="B69" s="208"/>
      <c r="C69" s="503"/>
      <c r="D69" s="511"/>
    </row>
    <row r="70" spans="2:4" ht="14.25" customHeight="1">
      <c r="B70" s="154"/>
      <c r="C70" s="514"/>
      <c r="D70" s="512"/>
    </row>
    <row r="71" spans="2:4" ht="12.75">
      <c r="B71" s="1088" t="s">
        <v>430</v>
      </c>
      <c r="C71" s="1089"/>
      <c r="D71" s="498">
        <f>D65+D68</f>
        <v>14296302.559999999</v>
      </c>
    </row>
    <row r="72" spans="2:4" ht="13.5" thickBot="1">
      <c r="B72" s="164"/>
      <c r="C72" s="203"/>
      <c r="D72" s="499"/>
    </row>
    <row r="73" spans="2:3" ht="12.75">
      <c r="B73" s="158"/>
      <c r="C73" s="158"/>
    </row>
    <row r="74" spans="3:4" ht="12.75">
      <c r="C74" s="185" t="s">
        <v>83</v>
      </c>
      <c r="D74" s="186">
        <f>D38-D71</f>
        <v>-2056196.009999998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783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735</v>
      </c>
      <c r="D81" s="133"/>
    </row>
    <row r="82" spans="3:4" ht="12.75" hidden="1">
      <c r="C82" s="181" t="s">
        <v>84</v>
      </c>
      <c r="D82" s="133"/>
    </row>
    <row r="83" spans="3:4" ht="18" customHeight="1" hidden="1">
      <c r="C83" s="181" t="s">
        <v>85</v>
      </c>
      <c r="D83" s="133"/>
    </row>
    <row r="84" spans="3:4" ht="18" customHeight="1" hidden="1">
      <c r="C84" s="181" t="s">
        <v>78</v>
      </c>
      <c r="D84" s="133"/>
    </row>
    <row r="85" spans="3:4" ht="18" customHeight="1" hidden="1">
      <c r="C85" s="181" t="s">
        <v>86</v>
      </c>
      <c r="D85" s="133"/>
    </row>
    <row r="86" spans="3:4" ht="18" customHeight="1" hidden="1">
      <c r="C86" s="181" t="s">
        <v>79</v>
      </c>
      <c r="D86" s="133"/>
    </row>
    <row r="87" spans="3:4" ht="18" customHeight="1" hidden="1">
      <c r="C87" s="132" t="s">
        <v>80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67" t="s">
        <v>687</v>
      </c>
      <c r="D91" s="187">
        <f>SUM(D92:D93)</f>
        <v>0</v>
      </c>
    </row>
    <row r="92" spans="3:4" ht="12.75">
      <c r="C92" s="668" t="s">
        <v>677</v>
      </c>
      <c r="D92" s="187">
        <f>'INF. ADIC. CPYG '!I37</f>
        <v>0</v>
      </c>
    </row>
    <row r="93" spans="3:4" ht="12.75" customHeight="1">
      <c r="C93" s="668" t="s">
        <v>678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zoomScalePageLayoutView="0" workbookViewId="0" topLeftCell="A1">
      <selection activeCell="A70" sqref="A70:IV85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1074" t="s">
        <v>675</v>
      </c>
      <c r="C2" s="1074"/>
      <c r="D2" s="1074"/>
    </row>
    <row r="3" spans="2:4" ht="13.5" thickBot="1">
      <c r="B3" s="183"/>
      <c r="C3" s="183"/>
      <c r="D3" s="183"/>
    </row>
    <row r="4" spans="2:4" ht="15.75" thickBot="1">
      <c r="B4" s="1075" t="str">
        <f>'ORGANOS DE GOBIERNO'!B4:I4</f>
        <v>ENTIDAD: SPET</v>
      </c>
      <c r="C4" s="1076"/>
      <c r="D4" s="1077"/>
    </row>
    <row r="5" spans="2:3" ht="13.5" thickBot="1">
      <c r="B5" s="184"/>
      <c r="C5" s="184"/>
    </row>
    <row r="6" spans="2:4" ht="15.75" thickBot="1">
      <c r="B6" s="1078" t="s">
        <v>428</v>
      </c>
      <c r="C6" s="1076"/>
      <c r="D6" s="1077"/>
    </row>
    <row r="7" spans="2:3" ht="13.5" thickBot="1">
      <c r="B7" s="184"/>
      <c r="C7" s="184"/>
    </row>
    <row r="8" spans="2:4" ht="13.5" customHeight="1">
      <c r="B8" s="1079" t="s">
        <v>696</v>
      </c>
      <c r="C8" s="1080"/>
      <c r="D8" s="1070"/>
    </row>
    <row r="9" spans="2:4" ht="12.75" customHeight="1" thickBot="1">
      <c r="B9" s="1081"/>
      <c r="C9" s="1082"/>
      <c r="D9" s="1071"/>
    </row>
    <row r="10" spans="2:4" ht="12.75">
      <c r="B10" s="151"/>
      <c r="C10" s="152"/>
      <c r="D10" s="202"/>
    </row>
    <row r="11" spans="2:4" ht="12.75">
      <c r="B11" s="138" t="s">
        <v>698</v>
      </c>
      <c r="C11" s="139" t="s">
        <v>784</v>
      </c>
      <c r="D11" s="140">
        <f>PRESUPUESTO!D11</f>
        <v>0</v>
      </c>
    </row>
    <row r="12" spans="2:4" ht="12.75">
      <c r="B12" s="138" t="s">
        <v>699</v>
      </c>
      <c r="C12" s="139" t="s">
        <v>785</v>
      </c>
      <c r="D12" s="140">
        <f>PRESUPUESTO!D12</f>
        <v>0</v>
      </c>
    </row>
    <row r="13" spans="2:4" ht="12.75">
      <c r="B13" s="138" t="s">
        <v>700</v>
      </c>
      <c r="C13" s="139" t="s">
        <v>786</v>
      </c>
      <c r="D13" s="140">
        <f>PRESUPUESTO!D13</f>
        <v>1344929.24</v>
      </c>
    </row>
    <row r="14" spans="2:4" ht="12.75">
      <c r="B14" s="138" t="s">
        <v>701</v>
      </c>
      <c r="C14" s="139" t="s">
        <v>787</v>
      </c>
      <c r="D14" s="140">
        <f>PRESUPUESTO!D14</f>
        <v>12942548.790000001</v>
      </c>
    </row>
    <row r="15" spans="2:4" ht="12.75">
      <c r="B15" s="138" t="s">
        <v>702</v>
      </c>
      <c r="C15" s="139" t="s">
        <v>788</v>
      </c>
      <c r="D15" s="140">
        <f>PRESUPUESTO!D15</f>
        <v>3000</v>
      </c>
    </row>
    <row r="16" spans="2:4" ht="12.75">
      <c r="B16" s="141"/>
      <c r="C16" s="142"/>
      <c r="D16" s="143"/>
    </row>
    <row r="17" spans="2:4" ht="12.75">
      <c r="B17" s="144" t="s">
        <v>703</v>
      </c>
      <c r="C17" s="145"/>
      <c r="D17" s="146">
        <f>SUM(D11:D15)</f>
        <v>14290478.030000001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704</v>
      </c>
      <c r="C20" s="139" t="s">
        <v>789</v>
      </c>
      <c r="D20" s="140">
        <f>PRESUPUESTO!D20</f>
        <v>0</v>
      </c>
    </row>
    <row r="21" spans="2:4" ht="12.75">
      <c r="B21" s="138" t="s">
        <v>705</v>
      </c>
      <c r="C21" s="139" t="s">
        <v>790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706</v>
      </c>
      <c r="C23" s="145"/>
      <c r="D23" s="146">
        <f>SUM(D20:D21)</f>
        <v>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707</v>
      </c>
      <c r="C26" s="139" t="s">
        <v>791</v>
      </c>
      <c r="D26" s="140">
        <f>PRESUPUESTO!D26</f>
        <v>0</v>
      </c>
    </row>
    <row r="27" spans="2:4" ht="12.75">
      <c r="B27" s="138" t="s">
        <v>708</v>
      </c>
      <c r="C27" s="139" t="s">
        <v>792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709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710</v>
      </c>
      <c r="D32" s="157">
        <f>D17+D23+D29</f>
        <v>14290478.030000001</v>
      </c>
      <c r="G32" s="672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5824.53</v>
      </c>
    </row>
    <row r="35" spans="2:4" ht="12.75">
      <c r="B35" s="161"/>
      <c r="C35" s="162"/>
      <c r="D35" s="163"/>
    </row>
    <row r="36" spans="2:4" ht="12.75">
      <c r="B36" s="154"/>
      <c r="C36" s="156" t="s">
        <v>710</v>
      </c>
      <c r="D36" s="157">
        <f>D32+D34</f>
        <v>14296302.56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1079" t="s">
        <v>696</v>
      </c>
      <c r="C39" s="1080"/>
      <c r="D39" s="1072"/>
    </row>
    <row r="40" spans="2:4" ht="12.75" customHeight="1" thickBot="1">
      <c r="B40" s="1081"/>
      <c r="C40" s="1082"/>
      <c r="D40" s="1073"/>
    </row>
    <row r="41" spans="2:4" ht="12.75">
      <c r="B41" s="151"/>
      <c r="C41" s="152"/>
      <c r="D41" s="153"/>
    </row>
    <row r="42" spans="2:4" ht="12.75">
      <c r="B42" s="138" t="s">
        <v>698</v>
      </c>
      <c r="C42" s="167" t="s">
        <v>712</v>
      </c>
      <c r="D42" s="168">
        <f>PRESUPUESTO!D40</f>
        <v>1977829.09</v>
      </c>
    </row>
    <row r="43" spans="2:4" ht="12.75">
      <c r="B43" s="138" t="s">
        <v>699</v>
      </c>
      <c r="C43" s="167" t="s">
        <v>713</v>
      </c>
      <c r="D43" s="168">
        <f>PRESUPUESTO!D41</f>
        <v>12237733.7</v>
      </c>
    </row>
    <row r="44" spans="2:4" ht="12.75">
      <c r="B44" s="138" t="s">
        <v>700</v>
      </c>
      <c r="C44" s="167" t="s">
        <v>137</v>
      </c>
      <c r="D44" s="168">
        <f>PRESUPUESTO!D42</f>
        <v>3000</v>
      </c>
    </row>
    <row r="45" spans="2:4" ht="12.75">
      <c r="B45" s="138" t="s">
        <v>701</v>
      </c>
      <c r="C45" s="167" t="s">
        <v>714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715</v>
      </c>
      <c r="C47" s="145"/>
      <c r="D47" s="150">
        <f>SUM(D42:D45)</f>
        <v>14218562.79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704</v>
      </c>
      <c r="C50" s="167" t="s">
        <v>717</v>
      </c>
      <c r="D50" s="168">
        <f>PRESUPUESTO!D48</f>
        <v>0</v>
      </c>
    </row>
    <row r="51" spans="2:4" ht="12.75">
      <c r="B51" s="138" t="s">
        <v>705</v>
      </c>
      <c r="C51" s="167" t="s">
        <v>718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719</v>
      </c>
      <c r="C53" s="145"/>
      <c r="D53" s="150">
        <f>SUM(D50:D51)</f>
        <v>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707</v>
      </c>
      <c r="C56" s="167" t="s">
        <v>721</v>
      </c>
      <c r="D56" s="168">
        <f>PRESUPUESTO!D54</f>
        <v>0</v>
      </c>
    </row>
    <row r="57" spans="2:4" ht="12.75">
      <c r="B57" s="138" t="s">
        <v>708</v>
      </c>
      <c r="C57" s="167" t="s">
        <v>722</v>
      </c>
      <c r="D57" s="168">
        <f>PRESUPUESTO!D55</f>
        <v>23066.7</v>
      </c>
    </row>
    <row r="58" spans="2:4" ht="12.75">
      <c r="B58" s="151"/>
      <c r="C58" s="152"/>
      <c r="D58" s="153"/>
    </row>
    <row r="59" spans="2:4" ht="12.75">
      <c r="B59" s="144" t="s">
        <v>723</v>
      </c>
      <c r="C59" s="145"/>
      <c r="D59" s="150">
        <f>SUM(D56:D57)</f>
        <v>23066.7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192</v>
      </c>
      <c r="D62" s="157">
        <f>D47+D53+D59</f>
        <v>14241629.489999998</v>
      </c>
      <c r="G62" s="672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219</v>
      </c>
      <c r="D64" s="199">
        <f>'PRESUPUESTO CPYG'!D68</f>
        <v>77739.77</v>
      </c>
    </row>
    <row r="65" spans="2:4" ht="12.75">
      <c r="B65" s="161"/>
      <c r="C65" s="162"/>
      <c r="D65" s="163"/>
    </row>
    <row r="66" spans="2:4" ht="12.75">
      <c r="B66" s="154"/>
      <c r="C66" s="156" t="s">
        <v>192</v>
      </c>
      <c r="D66" s="157">
        <f>D62+D64</f>
        <v>14319369.259999998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222</v>
      </c>
      <c r="C70" s="195" t="s">
        <v>83</v>
      </c>
      <c r="D70" s="196">
        <f>D36-D66</f>
        <v>-23066.699999997392</v>
      </c>
      <c r="E70" s="133" t="s">
        <v>226</v>
      </c>
    </row>
    <row r="71" ht="13.5" hidden="1" thickBot="1"/>
    <row r="72" spans="2:5" ht="17.25" customHeight="1" hidden="1" thickBot="1">
      <c r="B72" s="192" t="s">
        <v>223</v>
      </c>
      <c r="C72" s="192" t="s">
        <v>221</v>
      </c>
      <c r="D72" s="193">
        <f>D74+D79+D80+D81+D82</f>
        <v>23066.700000000652</v>
      </c>
      <c r="E72" s="133" t="s">
        <v>444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220</v>
      </c>
      <c r="D74" s="193">
        <f>SUM(D75:D78)</f>
        <v>77739.77</v>
      </c>
    </row>
    <row r="75" spans="3:4" ht="21.75" customHeight="1" hidden="1">
      <c r="C75" s="691" t="s">
        <v>446</v>
      </c>
      <c r="D75" s="692">
        <f>-'Inv. NO FIN'!E21</f>
        <v>0</v>
      </c>
    </row>
    <row r="76" spans="3:4" ht="18.75" customHeight="1" hidden="1">
      <c r="C76" s="693" t="s">
        <v>685</v>
      </c>
      <c r="D76" s="694">
        <f>-'Inv. NO FIN'!G21</f>
        <v>77739.77</v>
      </c>
    </row>
    <row r="77" spans="3:4" ht="21" customHeight="1" hidden="1">
      <c r="C77" s="693" t="s">
        <v>418</v>
      </c>
      <c r="D77" s="694">
        <f>-'Inv. NO FIN'!H21</f>
        <v>0</v>
      </c>
    </row>
    <row r="78" spans="3:4" ht="26.25" hidden="1" thickBot="1">
      <c r="C78" s="695" t="s">
        <v>420</v>
      </c>
      <c r="D78" s="696">
        <f>-'Inv. NO FIN'!J21</f>
        <v>0</v>
      </c>
    </row>
    <row r="79" spans="3:4" ht="19.5" customHeight="1" hidden="1" thickBot="1">
      <c r="C79" s="697" t="s">
        <v>224</v>
      </c>
      <c r="D79" s="698">
        <f>-'Inv. FIN'!I14-'Inv. FIN'!I21-'Inv. FIN'!I33-'Inv. FIN'!I40</f>
        <v>0</v>
      </c>
    </row>
    <row r="80" spans="3:4" ht="30" customHeight="1" hidden="1" thickBot="1">
      <c r="C80" s="699" t="s">
        <v>225</v>
      </c>
      <c r="D80" s="700">
        <f>-(ACTIVO!E23-ACTIVO!D23)+ACTIVO!E37-ACTIVO!D37+ACTIVO!E38-ACTIVO!D38</f>
        <v>3642841.1000000006</v>
      </c>
    </row>
    <row r="81" spans="3:5" ht="19.5" customHeight="1" hidden="1" thickBot="1">
      <c r="C81" s="192" t="s">
        <v>445</v>
      </c>
      <c r="D81" s="134">
        <f>+PASIVO!H27</f>
        <v>-4368.399999999994</v>
      </c>
      <c r="E81" s="665" t="s">
        <v>228</v>
      </c>
    </row>
    <row r="82" spans="3:4" ht="19.5" customHeight="1" hidden="1" thickBot="1">
      <c r="C82" s="194" t="s">
        <v>364</v>
      </c>
      <c r="D82" s="193">
        <f>+(PASIVO!E28-PASIVO!D28)+(PASIVO!E43-PASIVO!D43)+D57</f>
        <v>-3693145.77</v>
      </c>
    </row>
    <row r="83" ht="13.5" hidden="1" thickBot="1"/>
    <row r="84" spans="3:4" ht="13.5" hidden="1" thickBot="1">
      <c r="C84" s="192" t="s">
        <v>227</v>
      </c>
      <c r="D84" s="193">
        <f>D70+D72</f>
        <v>3.259629011154175E-09</v>
      </c>
    </row>
    <row r="8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2"/>
  <sheetViews>
    <sheetView zoomScalePageLayoutView="0" workbookViewId="0" topLeftCell="A1">
      <selection activeCell="E29" sqref="E29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75" customWidth="1"/>
    <col min="6" max="6" width="13.7109375" style="670" customWidth="1"/>
    <col min="7" max="7" width="8.8515625" style="133" customWidth="1"/>
    <col min="8" max="16384" width="11.57421875" style="133" customWidth="1"/>
  </cols>
  <sheetData>
    <row r="2" spans="2:5" ht="12.75">
      <c r="B2" s="1074" t="s">
        <v>675</v>
      </c>
      <c r="C2" s="1074"/>
      <c r="D2" s="1074"/>
      <c r="E2" s="673"/>
    </row>
    <row r="3" spans="2:5" ht="13.5" thickBot="1">
      <c r="B3" s="183"/>
      <c r="C3" s="183"/>
      <c r="D3" s="183"/>
      <c r="E3" s="673"/>
    </row>
    <row r="4" spans="2:5" ht="15.75" thickBot="1">
      <c r="B4" s="1075" t="str">
        <f>'ORGANOS DE GOBIERNO'!B4:I4</f>
        <v>ENTIDAD: SPET</v>
      </c>
      <c r="C4" s="1076"/>
      <c r="D4" s="1077"/>
      <c r="E4" s="674"/>
    </row>
    <row r="5" spans="2:3" ht="13.5" thickBot="1">
      <c r="B5" s="184"/>
      <c r="C5" s="184"/>
    </row>
    <row r="6" spans="2:5" ht="15.75" thickBot="1">
      <c r="B6" s="1078" t="s">
        <v>428</v>
      </c>
      <c r="C6" s="1076"/>
      <c r="D6" s="1077"/>
      <c r="E6" s="674"/>
    </row>
    <row r="7" spans="2:3" ht="13.5" thickBot="1">
      <c r="B7" s="184"/>
      <c r="C7" s="184"/>
    </row>
    <row r="8" spans="2:5" ht="13.5" customHeight="1">
      <c r="B8" s="1079" t="s">
        <v>696</v>
      </c>
      <c r="C8" s="1080"/>
      <c r="D8" s="1070"/>
      <c r="E8" s="676"/>
    </row>
    <row r="9" spans="2:5" ht="12.75" customHeight="1">
      <c r="B9" s="1088"/>
      <c r="C9" s="1089"/>
      <c r="D9" s="1083"/>
      <c r="E9" s="677"/>
    </row>
    <row r="10" spans="2:5" ht="12.75">
      <c r="B10" s="135"/>
      <c r="C10" s="136"/>
      <c r="D10" s="137"/>
      <c r="E10" s="678"/>
    </row>
    <row r="11" spans="2:8" ht="12.75">
      <c r="B11" s="138" t="s">
        <v>698</v>
      </c>
      <c r="C11" s="139" t="s">
        <v>784</v>
      </c>
      <c r="D11" s="140">
        <v>0</v>
      </c>
      <c r="E11" s="679"/>
      <c r="F11" s="671"/>
      <c r="H11" s="671"/>
    </row>
    <row r="12" spans="2:8" ht="12.75">
      <c r="B12" s="138" t="s">
        <v>699</v>
      </c>
      <c r="C12" s="139" t="s">
        <v>785</v>
      </c>
      <c r="D12" s="140">
        <v>0</v>
      </c>
      <c r="E12" s="679"/>
      <c r="F12" s="671"/>
      <c r="H12" s="671"/>
    </row>
    <row r="13" spans="2:8" ht="12.75">
      <c r="B13" s="138" t="s">
        <v>700</v>
      </c>
      <c r="C13" s="139" t="s">
        <v>786</v>
      </c>
      <c r="D13" s="140">
        <f>'PRESUPUESTO CPYG'!D13</f>
        <v>1344929.24</v>
      </c>
      <c r="E13" s="679"/>
      <c r="F13" s="671"/>
      <c r="H13" s="671"/>
    </row>
    <row r="14" spans="2:8" ht="12.75">
      <c r="B14" s="138" t="s">
        <v>701</v>
      </c>
      <c r="C14" s="139" t="s">
        <v>787</v>
      </c>
      <c r="D14" s="140">
        <f>'PRESUPUESTO CPYG'!D14+'Transf. y subv.'!F57</f>
        <v>12942548.790000001</v>
      </c>
      <c r="E14" s="679"/>
      <c r="F14" s="671"/>
      <c r="H14" s="671"/>
    </row>
    <row r="15" spans="2:8" ht="12.75">
      <c r="B15" s="138" t="s">
        <v>702</v>
      </c>
      <c r="C15" s="139" t="s">
        <v>788</v>
      </c>
      <c r="D15" s="140">
        <f>'PRESUPUESTO CPYG'!D15</f>
        <v>3000</v>
      </c>
      <c r="E15" s="679"/>
      <c r="F15" s="671"/>
      <c r="H15" s="671"/>
    </row>
    <row r="16" spans="2:5" ht="12.75">
      <c r="B16" s="141"/>
      <c r="C16" s="142"/>
      <c r="D16" s="143"/>
      <c r="E16" s="680"/>
    </row>
    <row r="17" spans="2:5" ht="12.75">
      <c r="B17" s="144" t="s">
        <v>703</v>
      </c>
      <c r="C17" s="145"/>
      <c r="D17" s="146">
        <f>SUM(D11:D15)</f>
        <v>14290478.030000001</v>
      </c>
      <c r="E17" s="681"/>
    </row>
    <row r="18" spans="2:5" ht="12.75">
      <c r="B18" s="147"/>
      <c r="C18" s="148"/>
      <c r="D18" s="149"/>
      <c r="E18" s="680"/>
    </row>
    <row r="19" spans="2:5" ht="12.75">
      <c r="B19" s="141"/>
      <c r="C19" s="142"/>
      <c r="D19" s="143"/>
      <c r="E19" s="680"/>
    </row>
    <row r="20" spans="2:5" ht="12.75">
      <c r="B20" s="138" t="s">
        <v>704</v>
      </c>
      <c r="C20" s="139" t="s">
        <v>789</v>
      </c>
      <c r="D20" s="143">
        <f>-'Inv. NO FIN'!I21</f>
        <v>0</v>
      </c>
      <c r="E20" s="680"/>
    </row>
    <row r="21" spans="2:5" ht="12.75">
      <c r="B21" s="138" t="s">
        <v>705</v>
      </c>
      <c r="C21" s="139" t="s">
        <v>790</v>
      </c>
      <c r="D21" s="143">
        <f>'Transf. y subv.'!F15</f>
        <v>0</v>
      </c>
      <c r="E21" s="680"/>
    </row>
    <row r="22" spans="2:5" ht="12.75">
      <c r="B22" s="141"/>
      <c r="C22" s="142"/>
      <c r="D22" s="143"/>
      <c r="E22" s="680"/>
    </row>
    <row r="23" spans="2:5" ht="12.75">
      <c r="B23" s="144" t="s">
        <v>706</v>
      </c>
      <c r="C23" s="145"/>
      <c r="D23" s="146">
        <f>SUM(D20:D21)</f>
        <v>0</v>
      </c>
      <c r="E23" s="681"/>
    </row>
    <row r="24" spans="2:5" ht="12.75">
      <c r="B24" s="147"/>
      <c r="C24" s="148"/>
      <c r="D24" s="149"/>
      <c r="E24" s="680"/>
    </row>
    <row r="25" spans="2:5" ht="12.75">
      <c r="B25" s="141"/>
      <c r="C25" s="142"/>
      <c r="D25" s="143"/>
      <c r="E25" s="680"/>
    </row>
    <row r="26" spans="2:5" ht="12.75">
      <c r="B26" s="138" t="s">
        <v>707</v>
      </c>
      <c r="C26" s="139" t="s">
        <v>791</v>
      </c>
      <c r="D26" s="140">
        <f>-'Inv. FIN'!H14-'Inv. FIN'!H21-'Inv. FIN'!H33-'Inv. FIN'!H40</f>
        <v>0</v>
      </c>
      <c r="E26" s="679"/>
    </row>
    <row r="27" spans="2:5" ht="12.75">
      <c r="B27" s="138" t="s">
        <v>708</v>
      </c>
      <c r="C27" s="139" t="s">
        <v>792</v>
      </c>
      <c r="D27" s="140">
        <f>'Deuda L.P.'!L24</f>
        <v>0</v>
      </c>
      <c r="E27" s="679"/>
    </row>
    <row r="28" spans="2:5" ht="12.75">
      <c r="B28" s="141"/>
      <c r="C28" s="142"/>
      <c r="D28" s="143"/>
      <c r="E28" s="680"/>
    </row>
    <row r="29" spans="2:5" ht="12.75">
      <c r="B29" s="144" t="s">
        <v>709</v>
      </c>
      <c r="C29" s="145"/>
      <c r="D29" s="150">
        <f>SUM(D26:D27)</f>
        <v>0</v>
      </c>
      <c r="E29" s="682"/>
    </row>
    <row r="30" spans="2:5" ht="12.75">
      <c r="B30" s="151"/>
      <c r="C30" s="152"/>
      <c r="D30" s="153"/>
      <c r="E30" s="683"/>
    </row>
    <row r="31" spans="2:5" ht="12.75">
      <c r="B31" s="338"/>
      <c r="C31" s="188"/>
      <c r="D31" s="339"/>
      <c r="E31" s="678"/>
    </row>
    <row r="32" spans="2:5" ht="12.75">
      <c r="B32" s="154"/>
      <c r="C32" s="156" t="s">
        <v>710</v>
      </c>
      <c r="D32" s="157">
        <f>D17+D23+D29</f>
        <v>14290478.030000001</v>
      </c>
      <c r="E32" s="682"/>
    </row>
    <row r="33" spans="2:5" ht="13.5" thickBot="1">
      <c r="B33" s="164"/>
      <c r="C33" s="203"/>
      <c r="D33" s="166"/>
      <c r="E33" s="678"/>
    </row>
    <row r="34" spans="3:5" ht="12.75">
      <c r="C34" s="158"/>
      <c r="D34" s="133"/>
      <c r="E34" s="230"/>
    </row>
    <row r="36" ht="13.5" thickBot="1"/>
    <row r="37" spans="2:5" ht="13.5" customHeight="1">
      <c r="B37" s="1079" t="s">
        <v>696</v>
      </c>
      <c r="C37" s="1086"/>
      <c r="D37" s="1084"/>
      <c r="E37" s="684"/>
    </row>
    <row r="38" spans="2:5" ht="12.75" customHeight="1" thickBot="1">
      <c r="B38" s="1081"/>
      <c r="C38" s="1087"/>
      <c r="D38" s="1085"/>
      <c r="E38" s="685"/>
    </row>
    <row r="39" spans="2:8" ht="12.75">
      <c r="B39" s="151"/>
      <c r="C39" s="159"/>
      <c r="D39" s="153"/>
      <c r="E39" s="683"/>
      <c r="H39" s="158"/>
    </row>
    <row r="40" spans="2:8" ht="12.75">
      <c r="B40" s="138" t="s">
        <v>698</v>
      </c>
      <c r="C40" s="210" t="s">
        <v>712</v>
      </c>
      <c r="D40" s="168">
        <f>'PRESUPUESTO CPYG'!D45</f>
        <v>1977829.09</v>
      </c>
      <c r="E40" s="669"/>
      <c r="H40" s="671"/>
    </row>
    <row r="41" spans="2:8" ht="12.75">
      <c r="B41" s="138" t="s">
        <v>699</v>
      </c>
      <c r="C41" s="210" t="s">
        <v>713</v>
      </c>
      <c r="D41" s="168">
        <f>'PRESUPUESTO CPYG'!D46</f>
        <v>12237733.7</v>
      </c>
      <c r="E41" s="669"/>
      <c r="H41" s="671"/>
    </row>
    <row r="42" spans="2:8" ht="12.75">
      <c r="B42" s="138" t="s">
        <v>700</v>
      </c>
      <c r="C42" s="210" t="s">
        <v>137</v>
      </c>
      <c r="D42" s="168">
        <f>'PRESUPUESTO CPYG'!D47</f>
        <v>3000</v>
      </c>
      <c r="E42" s="669"/>
      <c r="H42" s="671"/>
    </row>
    <row r="43" spans="2:8" ht="12.75">
      <c r="B43" s="138" t="s">
        <v>701</v>
      </c>
      <c r="C43" s="210" t="s">
        <v>714</v>
      </c>
      <c r="D43" s="490">
        <f>'PRESUPUESTO CPYG'!D48</f>
        <v>0</v>
      </c>
      <c r="E43" s="669"/>
      <c r="H43" s="671"/>
    </row>
    <row r="44" spans="2:8" ht="12.75">
      <c r="B44" s="151"/>
      <c r="C44" s="159"/>
      <c r="D44" s="168"/>
      <c r="E44" s="669"/>
      <c r="H44" s="671"/>
    </row>
    <row r="45" spans="2:5" ht="12.75">
      <c r="B45" s="144" t="s">
        <v>715</v>
      </c>
      <c r="C45" s="211"/>
      <c r="D45" s="150">
        <f>SUM(D40:D43)</f>
        <v>14218562.79</v>
      </c>
      <c r="E45" s="682"/>
    </row>
    <row r="46" spans="2:5" ht="12.75">
      <c r="B46" s="147"/>
      <c r="C46" s="212"/>
      <c r="D46" s="170"/>
      <c r="E46" s="683"/>
    </row>
    <row r="47" spans="2:5" ht="12.75">
      <c r="B47" s="151"/>
      <c r="C47" s="159"/>
      <c r="D47" s="153"/>
      <c r="E47" s="683"/>
    </row>
    <row r="48" spans="2:5" ht="12.75">
      <c r="B48" s="138" t="s">
        <v>704</v>
      </c>
      <c r="C48" s="210" t="s">
        <v>717</v>
      </c>
      <c r="D48" s="168">
        <f>'Inv. NO FIN'!D21+'Inv. NO FIN'!F21</f>
        <v>0</v>
      </c>
      <c r="E48" s="669"/>
    </row>
    <row r="49" spans="2:5" ht="12.75">
      <c r="B49" s="138" t="s">
        <v>705</v>
      </c>
      <c r="C49" s="210" t="s">
        <v>718</v>
      </c>
      <c r="D49" s="168">
        <v>0</v>
      </c>
      <c r="E49" s="669"/>
    </row>
    <row r="50" spans="2:5" ht="12.75">
      <c r="B50" s="151"/>
      <c r="C50" s="159"/>
      <c r="D50" s="153"/>
      <c r="E50" s="683"/>
    </row>
    <row r="51" spans="2:5" ht="12.75">
      <c r="B51" s="144" t="s">
        <v>719</v>
      </c>
      <c r="C51" s="211"/>
      <c r="D51" s="150">
        <f>SUM(D48:D49)</f>
        <v>0</v>
      </c>
      <c r="E51" s="682"/>
    </row>
    <row r="52" spans="2:5" ht="12.75">
      <c r="B52" s="147"/>
      <c r="C52" s="212"/>
      <c r="D52" s="170"/>
      <c r="E52" s="683"/>
    </row>
    <row r="53" spans="2:5" ht="12.75">
      <c r="B53" s="151"/>
      <c r="C53" s="159"/>
      <c r="D53" s="153"/>
      <c r="E53" s="683"/>
    </row>
    <row r="54" spans="2:5" ht="12.75">
      <c r="B54" s="138" t="s">
        <v>707</v>
      </c>
      <c r="C54" s="210" t="s">
        <v>721</v>
      </c>
      <c r="D54" s="168">
        <f>'Inv. FIN'!F14+'Inv. FIN'!F21+'Inv. FIN'!F33+'Inv. FIN'!F40</f>
        <v>0</v>
      </c>
      <c r="E54" s="669"/>
    </row>
    <row r="55" spans="2:5" ht="12.75">
      <c r="B55" s="138" t="s">
        <v>708</v>
      </c>
      <c r="C55" s="210" t="s">
        <v>722</v>
      </c>
      <c r="D55" s="168">
        <f>'Deuda L.P.'!M24</f>
        <v>23066.7</v>
      </c>
      <c r="E55" s="669"/>
    </row>
    <row r="56" spans="2:5" ht="12.75">
      <c r="B56" s="151"/>
      <c r="C56" s="159"/>
      <c r="D56" s="153"/>
      <c r="E56" s="683"/>
    </row>
    <row r="57" spans="2:5" ht="12.75">
      <c r="B57" s="144" t="s">
        <v>723</v>
      </c>
      <c r="C57" s="211"/>
      <c r="D57" s="150">
        <f>SUM(D54:D55)</f>
        <v>23066.7</v>
      </c>
      <c r="E57" s="682"/>
    </row>
    <row r="58" spans="2:5" ht="13.5" thickBot="1">
      <c r="B58" s="171"/>
      <c r="C58" s="213"/>
      <c r="D58" s="173"/>
      <c r="E58" s="682"/>
    </row>
    <row r="59" spans="2:5" ht="13.5" thickTop="1">
      <c r="B59" s="161"/>
      <c r="C59" s="204"/>
      <c r="D59" s="163"/>
      <c r="E59" s="678"/>
    </row>
    <row r="60" spans="2:5" ht="12.75">
      <c r="B60" s="154"/>
      <c r="C60" s="205" t="s">
        <v>192</v>
      </c>
      <c r="D60" s="157">
        <f>D45+D51+D57</f>
        <v>14241629.489999998</v>
      </c>
      <c r="E60" s="682"/>
    </row>
    <row r="61" spans="2:5" ht="13.5" thickBot="1">
      <c r="B61" s="164"/>
      <c r="C61" s="165"/>
      <c r="D61" s="166"/>
      <c r="E61" s="678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L255"/>
  <sheetViews>
    <sheetView tabSelected="1" zoomScalePageLayoutView="0" workbookViewId="0" topLeftCell="A76">
      <selection activeCell="B117" sqref="B117"/>
    </sheetView>
  </sheetViews>
  <sheetFormatPr defaultColWidth="11.57421875" defaultRowHeight="12.75"/>
  <cols>
    <col min="1" max="1" width="5.00390625" style="388" customWidth="1"/>
    <col min="2" max="2" width="73.57421875" style="388" customWidth="1"/>
    <col min="3" max="3" width="19.8515625" style="388" customWidth="1"/>
    <col min="4" max="4" width="19.28125" style="388" customWidth="1"/>
    <col min="5" max="5" width="20.7109375" style="388" customWidth="1"/>
    <col min="6" max="6" width="1.57421875" style="388" customWidth="1"/>
    <col min="7" max="7" width="14.57421875" style="387" hidden="1" customWidth="1"/>
    <col min="8" max="8" width="15.28125" style="387" hidden="1" customWidth="1"/>
    <col min="9" max="11" width="0" style="388" hidden="1" customWidth="1"/>
    <col min="12" max="16384" width="11.57421875" style="388" customWidth="1"/>
  </cols>
  <sheetData>
    <row r="2" spans="2:7" ht="49.5" customHeight="1">
      <c r="B2" s="1095" t="s">
        <v>131</v>
      </c>
      <c r="C2" s="1096"/>
      <c r="D2" s="1097"/>
      <c r="E2" s="384">
        <v>2017</v>
      </c>
      <c r="F2" s="385"/>
      <c r="G2" s="386"/>
    </row>
    <row r="3" spans="2:7" ht="25.5" customHeight="1">
      <c r="B3" s="1092" t="str">
        <f>'ORGANOS DE GOBIERNO'!B4:I4</f>
        <v>ENTIDAD: SPET</v>
      </c>
      <c r="C3" s="1093"/>
      <c r="D3" s="1094"/>
      <c r="E3" s="389" t="s">
        <v>684</v>
      </c>
      <c r="F3" s="390"/>
      <c r="G3" s="391"/>
    </row>
    <row r="4" spans="2:7" ht="25.5" customHeight="1">
      <c r="B4" s="1090" t="s">
        <v>217</v>
      </c>
      <c r="C4" s="1091"/>
      <c r="D4" s="1091"/>
      <c r="E4" s="1091"/>
      <c r="F4" s="392"/>
      <c r="G4" s="393"/>
    </row>
    <row r="5" spans="2:8" ht="31.5" customHeight="1">
      <c r="B5" s="394" t="s">
        <v>142</v>
      </c>
      <c r="C5" s="395" t="s">
        <v>497</v>
      </c>
      <c r="D5" s="396" t="s">
        <v>496</v>
      </c>
      <c r="E5" s="396" t="s">
        <v>495</v>
      </c>
      <c r="F5" s="397"/>
      <c r="G5" s="398" t="s">
        <v>81</v>
      </c>
      <c r="H5" s="398" t="s">
        <v>82</v>
      </c>
    </row>
    <row r="6" spans="2:6" s="401" customFormat="1" ht="19.5" customHeight="1">
      <c r="B6" s="399" t="s">
        <v>178</v>
      </c>
      <c r="C6" s="567"/>
      <c r="D6" s="567"/>
      <c r="E6" s="567"/>
      <c r="F6" s="400"/>
    </row>
    <row r="7" spans="2:9" s="401" customFormat="1" ht="19.5" customHeight="1">
      <c r="B7" s="402" t="s">
        <v>1</v>
      </c>
      <c r="C7" s="524">
        <f>'INF. ADIC. CPYG '!E30</f>
        <v>1967973.55</v>
      </c>
      <c r="D7" s="524">
        <f>'INF. ADIC. CPYG '!H30</f>
        <v>1528419.3</v>
      </c>
      <c r="E7" s="524">
        <f>'INF. ADIC. CPYG '!K30</f>
        <v>1344929.24</v>
      </c>
      <c r="F7" s="403"/>
      <c r="G7" s="404">
        <f>+D7-C7</f>
        <v>-439554.25</v>
      </c>
      <c r="H7" s="405">
        <f>+E7-D7</f>
        <v>-183490.06000000006</v>
      </c>
      <c r="I7" s="793"/>
    </row>
    <row r="8" spans="2:11" s="401" customFormat="1" ht="27.75" customHeight="1">
      <c r="B8" s="411" t="s">
        <v>398</v>
      </c>
      <c r="C8" s="524">
        <f>SUM(C9:C10)</f>
        <v>0</v>
      </c>
      <c r="D8" s="524">
        <f>SUM(D9:D10)</f>
        <v>0</v>
      </c>
      <c r="E8" s="524">
        <f>SUM(E9:E10)</f>
        <v>0</v>
      </c>
      <c r="F8" s="412"/>
      <c r="G8" s="413"/>
      <c r="H8" s="409"/>
      <c r="I8" s="795"/>
      <c r="K8" s="795"/>
    </row>
    <row r="9" spans="2:11" s="401" customFormat="1" ht="18" customHeight="1">
      <c r="B9" s="406" t="s">
        <v>679</v>
      </c>
      <c r="C9" s="522"/>
      <c r="D9" s="521"/>
      <c r="E9" s="521"/>
      <c r="F9" s="412"/>
      <c r="G9" s="413"/>
      <c r="H9" s="409"/>
      <c r="I9" s="794"/>
      <c r="K9" s="794"/>
    </row>
    <row r="10" spans="2:11" s="401" customFormat="1" ht="18" customHeight="1">
      <c r="B10" s="406" t="s">
        <v>680</v>
      </c>
      <c r="C10" s="522"/>
      <c r="D10" s="701"/>
      <c r="E10" s="702"/>
      <c r="F10" s="412"/>
      <c r="G10" s="413"/>
      <c r="H10" s="409"/>
      <c r="I10" s="794"/>
      <c r="K10" s="794"/>
    </row>
    <row r="11" spans="2:11" s="401" customFormat="1" ht="25.5" customHeight="1">
      <c r="B11" s="411" t="s">
        <v>2</v>
      </c>
      <c r="C11" s="521"/>
      <c r="D11" s="521"/>
      <c r="E11" s="521"/>
      <c r="F11" s="412"/>
      <c r="G11" s="413"/>
      <c r="H11" s="409"/>
      <c r="I11" s="794"/>
      <c r="K11" s="794"/>
    </row>
    <row r="12" spans="2:9" s="401" customFormat="1" ht="19.5" customHeight="1">
      <c r="B12" s="414" t="s">
        <v>3</v>
      </c>
      <c r="C12" s="524">
        <f>SUM(C13:C16)</f>
        <v>-5506.2</v>
      </c>
      <c r="D12" s="524">
        <f>SUM(D13:D16)</f>
        <v>0</v>
      </c>
      <c r="E12" s="524">
        <f>SUM(E13:E16)</f>
        <v>0</v>
      </c>
      <c r="F12" s="412"/>
      <c r="G12" s="404">
        <f>+D12-C12</f>
        <v>5506.2</v>
      </c>
      <c r="H12" s="405">
        <f>+E12-D12</f>
        <v>0</v>
      </c>
      <c r="I12" s="793"/>
    </row>
    <row r="13" spans="2:9" s="401" customFormat="1" ht="19.5" customHeight="1">
      <c r="B13" s="406" t="s">
        <v>4</v>
      </c>
      <c r="C13" s="522">
        <v>-5506.2</v>
      </c>
      <c r="D13" s="522">
        <v>0</v>
      </c>
      <c r="E13" s="522">
        <v>0</v>
      </c>
      <c r="F13" s="410"/>
      <c r="G13" s="415"/>
      <c r="H13" s="409"/>
      <c r="I13" s="796"/>
    </row>
    <row r="14" spans="2:9" s="401" customFormat="1" ht="19.5" customHeight="1">
      <c r="B14" s="406" t="s">
        <v>5</v>
      </c>
      <c r="C14" s="522"/>
      <c r="D14" s="522"/>
      <c r="E14" s="522"/>
      <c r="F14" s="410"/>
      <c r="G14" s="415"/>
      <c r="H14" s="409"/>
      <c r="I14" s="796"/>
    </row>
    <row r="15" spans="2:9" s="401" customFormat="1" ht="19.5" customHeight="1">
      <c r="B15" s="406" t="s">
        <v>6</v>
      </c>
      <c r="C15" s="522"/>
      <c r="D15" s="522"/>
      <c r="E15" s="522"/>
      <c r="F15" s="410"/>
      <c r="G15" s="408">
        <f>+D15-C15</f>
        <v>0</v>
      </c>
      <c r="H15" s="409">
        <f>-E15-D15</f>
        <v>0</v>
      </c>
      <c r="I15" s="796"/>
    </row>
    <row r="16" spans="2:11" s="401" customFormat="1" ht="19.5" customHeight="1">
      <c r="B16" s="406" t="s">
        <v>7</v>
      </c>
      <c r="C16" s="522"/>
      <c r="D16" s="521"/>
      <c r="E16" s="522"/>
      <c r="F16" s="410"/>
      <c r="G16" s="415"/>
      <c r="H16" s="409"/>
      <c r="I16" s="796"/>
      <c r="J16" s="797"/>
      <c r="K16" s="794"/>
    </row>
    <row r="17" spans="2:9" s="401" customFormat="1" ht="19.5" customHeight="1">
      <c r="B17" s="411" t="s">
        <v>8</v>
      </c>
      <c r="C17" s="524">
        <f>C18+C22</f>
        <v>9495355.2</v>
      </c>
      <c r="D17" s="524">
        <f>D18+D22</f>
        <v>10603151.84</v>
      </c>
      <c r="E17" s="524">
        <f>E18+E22</f>
        <v>10886352.780000001</v>
      </c>
      <c r="F17" s="403"/>
      <c r="G17" s="404">
        <f>+D17-C17</f>
        <v>1107796.6400000006</v>
      </c>
      <c r="H17" s="405">
        <f>+E17-D17</f>
        <v>283200.94000000134</v>
      </c>
      <c r="I17" s="796"/>
    </row>
    <row r="18" spans="2:9" s="401" customFormat="1" ht="19.5" customHeight="1">
      <c r="B18" s="406" t="s">
        <v>9</v>
      </c>
      <c r="C18" s="525">
        <f>SUM(C19:C21)</f>
        <v>0</v>
      </c>
      <c r="D18" s="525">
        <f>SUM(D19:D21)</f>
        <v>0</v>
      </c>
      <c r="E18" s="525">
        <f>SUM(E19:E21)</f>
        <v>0</v>
      </c>
      <c r="F18" s="407"/>
      <c r="G18" s="408"/>
      <c r="H18" s="409"/>
      <c r="I18" s="796"/>
    </row>
    <row r="19" spans="2:9" s="401" customFormat="1" ht="19.5" customHeight="1">
      <c r="B19" s="406" t="s">
        <v>681</v>
      </c>
      <c r="C19" s="522"/>
      <c r="D19" s="522"/>
      <c r="E19" s="522"/>
      <c r="F19" s="407"/>
      <c r="G19" s="408"/>
      <c r="H19" s="409"/>
      <c r="I19" s="793"/>
    </row>
    <row r="20" spans="2:9" s="401" customFormat="1" ht="19.5" customHeight="1">
      <c r="B20" s="406" t="s">
        <v>682</v>
      </c>
      <c r="C20" s="522"/>
      <c r="D20" s="522"/>
      <c r="E20" s="522"/>
      <c r="F20" s="407"/>
      <c r="G20" s="408"/>
      <c r="H20" s="409"/>
      <c r="I20" s="793"/>
    </row>
    <row r="21" spans="2:9" s="401" customFormat="1" ht="19.5" customHeight="1">
      <c r="B21" s="406" t="s">
        <v>683</v>
      </c>
      <c r="C21" s="522"/>
      <c r="D21" s="522"/>
      <c r="E21" s="522"/>
      <c r="F21" s="407"/>
      <c r="G21" s="408"/>
      <c r="H21" s="409"/>
      <c r="I21" s="793"/>
    </row>
    <row r="22" spans="2:9" s="401" customFormat="1" ht="19.5" customHeight="1">
      <c r="B22" s="406" t="s">
        <v>10</v>
      </c>
      <c r="C22" s="525">
        <f>SUM(C23:C28)</f>
        <v>9495355.2</v>
      </c>
      <c r="D22" s="525">
        <f>SUM(D23:D28)</f>
        <v>10603151.84</v>
      </c>
      <c r="E22" s="525">
        <f>SUM(E23:E28)</f>
        <v>10886352.780000001</v>
      </c>
      <c r="F22" s="407"/>
      <c r="G22" s="408">
        <f>+D22-C22</f>
        <v>1107796.6400000006</v>
      </c>
      <c r="H22" s="409">
        <f>-E22-D22</f>
        <v>-21489504.62</v>
      </c>
      <c r="I22" s="793"/>
    </row>
    <row r="23" spans="2:9" s="401" customFormat="1" ht="19.5" customHeight="1">
      <c r="B23" s="406" t="s">
        <v>11</v>
      </c>
      <c r="C23" s="522"/>
      <c r="D23" s="521"/>
      <c r="E23" s="522"/>
      <c r="F23" s="407"/>
      <c r="G23" s="408"/>
      <c r="H23" s="409"/>
      <c r="I23" s="796"/>
    </row>
    <row r="24" spans="2:9" s="401" customFormat="1" ht="19.5" customHeight="1">
      <c r="B24" s="406" t="s">
        <v>399</v>
      </c>
      <c r="C24" s="522"/>
      <c r="D24" s="522"/>
      <c r="E24" s="522"/>
      <c r="F24" s="410"/>
      <c r="G24" s="408">
        <f>+D24-C24</f>
        <v>0</v>
      </c>
      <c r="H24" s="409">
        <f>-E24-D24</f>
        <v>0</v>
      </c>
      <c r="I24" s="796"/>
    </row>
    <row r="25" spans="2:12" s="401" customFormat="1" ht="19.5" customHeight="1">
      <c r="B25" s="406" t="s">
        <v>400</v>
      </c>
      <c r="C25" s="522">
        <v>0</v>
      </c>
      <c r="D25" s="522">
        <v>397851</v>
      </c>
      <c r="E25" s="522">
        <f>433851-1500</f>
        <v>432351</v>
      </c>
      <c r="F25" s="410"/>
      <c r="G25" s="415"/>
      <c r="H25" s="409"/>
      <c r="I25" s="796"/>
      <c r="L25" s="950" t="s">
        <v>609</v>
      </c>
    </row>
    <row r="26" spans="2:12" s="401" customFormat="1" ht="19.5" customHeight="1">
      <c r="B26" s="406" t="s">
        <v>12</v>
      </c>
      <c r="C26" s="522">
        <v>9495355.2</v>
      </c>
      <c r="D26" s="522">
        <v>10205300.84</v>
      </c>
      <c r="E26" s="522">
        <f>SUM('Transf. y subv.'!F24:F36)</f>
        <v>10454001.780000001</v>
      </c>
      <c r="F26" s="410"/>
      <c r="G26" s="415"/>
      <c r="H26" s="409"/>
      <c r="I26" s="796"/>
      <c r="L26" s="950" t="s">
        <v>929</v>
      </c>
    </row>
    <row r="27" spans="2:9" s="401" customFormat="1" ht="19.5" customHeight="1">
      <c r="B27" s="406" t="s">
        <v>13</v>
      </c>
      <c r="C27" s="522"/>
      <c r="D27" s="522"/>
      <c r="E27" s="522"/>
      <c r="F27" s="410"/>
      <c r="G27" s="408">
        <f>+D27-C27</f>
        <v>0</v>
      </c>
      <c r="H27" s="409">
        <f>-E27-D27</f>
        <v>0</v>
      </c>
      <c r="I27" s="796"/>
    </row>
    <row r="28" spans="2:9" s="401" customFormat="1" ht="19.5" customHeight="1">
      <c r="B28" s="406" t="s">
        <v>14</v>
      </c>
      <c r="C28" s="522"/>
      <c r="D28" s="521"/>
      <c r="E28" s="522"/>
      <c r="F28" s="410"/>
      <c r="G28" s="415"/>
      <c r="H28" s="409"/>
      <c r="I28" s="796"/>
    </row>
    <row r="29" spans="2:9" s="401" customFormat="1" ht="19.5" customHeight="1">
      <c r="B29" s="411" t="s">
        <v>15</v>
      </c>
      <c r="C29" s="524">
        <f>SUM(C30:C35)</f>
        <v>-1977695.9000000001</v>
      </c>
      <c r="D29" s="524">
        <f>SUM(D30:D35)</f>
        <v>-1970389.09</v>
      </c>
      <c r="E29" s="524">
        <f>SUM(E30:E35)</f>
        <v>-1977829.09</v>
      </c>
      <c r="F29" s="412"/>
      <c r="G29" s="404">
        <f>+D29-C29</f>
        <v>7306.810000000056</v>
      </c>
      <c r="H29" s="405">
        <f>+E29-D29</f>
        <v>-7440</v>
      </c>
      <c r="I29" s="793"/>
    </row>
    <row r="30" spans="2:9" s="401" customFormat="1" ht="19.5" customHeight="1">
      <c r="B30" s="406" t="s">
        <v>16</v>
      </c>
      <c r="C30" s="522">
        <v>-1537057.37</v>
      </c>
      <c r="D30" s="522">
        <v>-1533725.04</v>
      </c>
      <c r="E30" s="522">
        <v>-1520781.62</v>
      </c>
      <c r="F30" s="410"/>
      <c r="G30" s="408">
        <f>+D30-C30</f>
        <v>3332.3300000000745</v>
      </c>
      <c r="H30" s="409">
        <f>-E30-D30</f>
        <v>3054506.66</v>
      </c>
      <c r="I30" s="796"/>
    </row>
    <row r="31" spans="2:9" s="401" customFormat="1" ht="19.5" customHeight="1">
      <c r="B31" s="406" t="s">
        <v>401</v>
      </c>
      <c r="C31" s="522"/>
      <c r="D31" s="522"/>
      <c r="E31" s="522"/>
      <c r="F31" s="410"/>
      <c r="G31" s="408">
        <f>+D31-C31</f>
        <v>0</v>
      </c>
      <c r="H31" s="409">
        <f>-E31-D31</f>
        <v>0</v>
      </c>
      <c r="I31" s="796"/>
    </row>
    <row r="32" spans="2:9" s="401" customFormat="1" ht="19.5" customHeight="1">
      <c r="B32" s="406" t="s">
        <v>402</v>
      </c>
      <c r="C32" s="522">
        <v>-440638.53</v>
      </c>
      <c r="D32" s="522">
        <v>-436664.05</v>
      </c>
      <c r="E32" s="522">
        <v>-457047.47</v>
      </c>
      <c r="F32" s="410"/>
      <c r="G32" s="408">
        <f>+D32-C32</f>
        <v>3974.4800000000396</v>
      </c>
      <c r="H32" s="409">
        <f>-E32-D32</f>
        <v>893711.52</v>
      </c>
      <c r="I32" s="796"/>
    </row>
    <row r="33" spans="2:9" s="401" customFormat="1" ht="19.5" customHeight="1">
      <c r="B33" s="406" t="s">
        <v>403</v>
      </c>
      <c r="C33" s="522"/>
      <c r="D33" s="522"/>
      <c r="E33" s="522"/>
      <c r="F33" s="410"/>
      <c r="G33" s="408">
        <f>+D33-C33</f>
        <v>0</v>
      </c>
      <c r="H33" s="409">
        <f>-E33-D33</f>
        <v>0</v>
      </c>
      <c r="I33" s="796"/>
    </row>
    <row r="34" spans="2:9" s="401" customFormat="1" ht="19.5" customHeight="1">
      <c r="B34" s="406" t="s">
        <v>404</v>
      </c>
      <c r="C34" s="522"/>
      <c r="D34" s="522"/>
      <c r="E34" s="522"/>
      <c r="F34" s="410"/>
      <c r="G34" s="415"/>
      <c r="H34" s="409"/>
      <c r="I34" s="796"/>
    </row>
    <row r="35" spans="2:11" s="401" customFormat="1" ht="19.5" customHeight="1">
      <c r="B35" s="406" t="s">
        <v>405</v>
      </c>
      <c r="C35" s="522"/>
      <c r="D35" s="521"/>
      <c r="E35" s="522"/>
      <c r="F35" s="410"/>
      <c r="G35" s="415"/>
      <c r="H35" s="416"/>
      <c r="I35" s="796"/>
      <c r="J35" s="794"/>
      <c r="K35" s="794"/>
    </row>
    <row r="36" spans="2:8" s="401" customFormat="1" ht="15" customHeight="1" hidden="1">
      <c r="B36" s="406" t="s">
        <v>338</v>
      </c>
      <c r="C36" s="522"/>
      <c r="D36" s="521"/>
      <c r="E36" s="522"/>
      <c r="F36" s="410"/>
      <c r="G36" s="415"/>
      <c r="H36" s="416"/>
    </row>
    <row r="37" spans="2:9" s="401" customFormat="1" ht="19.5" customHeight="1">
      <c r="B37" s="402" t="s">
        <v>17</v>
      </c>
      <c r="C37" s="524">
        <f>+C38+C39+C40+C41</f>
        <v>-11270859.35</v>
      </c>
      <c r="D37" s="524">
        <f>+D38+D39+D40+D41</f>
        <v>-12004549.97</v>
      </c>
      <c r="E37" s="524">
        <f>+E38+E39+E40+E41</f>
        <v>-12237733.7</v>
      </c>
      <c r="F37" s="412"/>
      <c r="G37" s="404">
        <f>+D37-C37</f>
        <v>-733690.620000001</v>
      </c>
      <c r="H37" s="405">
        <f>+E37-D37</f>
        <v>-233183.72999999858</v>
      </c>
      <c r="I37" s="796"/>
    </row>
    <row r="38" spans="2:9" s="401" customFormat="1" ht="19.5" customHeight="1">
      <c r="B38" s="406" t="s">
        <v>406</v>
      </c>
      <c r="C38" s="522">
        <v>-10955158.66</v>
      </c>
      <c r="D38" s="522">
        <v>-11988783.38</v>
      </c>
      <c r="E38" s="522">
        <f>-11755838.45-18000+1500+26449.4-485000-844.65</f>
        <v>-12231733.7</v>
      </c>
      <c r="F38" s="410"/>
      <c r="G38" s="408">
        <f>+D38-C38</f>
        <v>-1033624.7200000007</v>
      </c>
      <c r="H38" s="409">
        <f>-E38-D38</f>
        <v>24220517.08</v>
      </c>
      <c r="I38" s="793"/>
    </row>
    <row r="39" spans="2:9" s="401" customFormat="1" ht="19.5" customHeight="1">
      <c r="B39" s="406" t="s">
        <v>407</v>
      </c>
      <c r="C39" s="522">
        <v>-8858.1</v>
      </c>
      <c r="D39" s="522">
        <v>-5176.41</v>
      </c>
      <c r="E39" s="522">
        <v>-6000</v>
      </c>
      <c r="F39" s="410"/>
      <c r="G39" s="408">
        <f>+D39-C39</f>
        <v>3681.6900000000005</v>
      </c>
      <c r="H39" s="409">
        <f>-E39-D39</f>
        <v>11176.41</v>
      </c>
      <c r="I39" s="793"/>
    </row>
    <row r="40" spans="2:11" s="401" customFormat="1" ht="19.5" customHeight="1">
      <c r="B40" s="406" t="s">
        <v>18</v>
      </c>
      <c r="C40" s="522">
        <v>-306842.59</v>
      </c>
      <c r="D40" s="522">
        <v>-10590.18</v>
      </c>
      <c r="E40" s="522">
        <v>0</v>
      </c>
      <c r="F40" s="407"/>
      <c r="G40" s="408">
        <f>+D40-C40</f>
        <v>296252.41000000003</v>
      </c>
      <c r="H40" s="409">
        <f>-E40-D40</f>
        <v>10590.18</v>
      </c>
      <c r="I40" s="794"/>
      <c r="K40" s="794"/>
    </row>
    <row r="41" spans="2:9" s="401" customFormat="1" ht="19.5" customHeight="1">
      <c r="B41" s="406" t="s">
        <v>19</v>
      </c>
      <c r="C41" s="521"/>
      <c r="D41" s="521"/>
      <c r="E41" s="521"/>
      <c r="F41" s="418"/>
      <c r="G41" s="419"/>
      <c r="H41" s="409"/>
      <c r="I41" s="793"/>
    </row>
    <row r="42" spans="2:11" s="401" customFormat="1" ht="19.5" customHeight="1">
      <c r="B42" s="402" t="s">
        <v>20</v>
      </c>
      <c r="C42" s="524">
        <f>SUM(C43:C45)</f>
        <v>-107619.54</v>
      </c>
      <c r="D42" s="524">
        <f>SUM(D43:D45)</f>
        <v>-100412.8</v>
      </c>
      <c r="E42" s="524">
        <f>SUM(E43:E45)</f>
        <v>-77739.77</v>
      </c>
      <c r="F42" s="412"/>
      <c r="G42" s="404">
        <f>+D42-C42</f>
        <v>7206.739999999991</v>
      </c>
      <c r="H42" s="405">
        <f>+E42-D42</f>
        <v>22673.03</v>
      </c>
      <c r="I42" s="794"/>
      <c r="K42" s="794"/>
    </row>
    <row r="43" spans="2:11" s="401" customFormat="1" ht="19.5" customHeight="1">
      <c r="B43" s="406" t="s">
        <v>630</v>
      </c>
      <c r="C43" s="521">
        <v>-40308.09</v>
      </c>
      <c r="D43" s="521">
        <v>-34467.36</v>
      </c>
      <c r="E43" s="521">
        <v>-23203.63</v>
      </c>
      <c r="F43" s="412"/>
      <c r="G43" s="404"/>
      <c r="H43" s="405"/>
      <c r="I43" s="795"/>
      <c r="K43" s="795"/>
    </row>
    <row r="44" spans="2:11" s="401" customFormat="1" ht="19.5" customHeight="1">
      <c r="B44" s="406" t="s">
        <v>631</v>
      </c>
      <c r="C44" s="521">
        <v>-67311.45</v>
      </c>
      <c r="D44" s="521">
        <v>-65945.44</v>
      </c>
      <c r="E44" s="521">
        <v>-54536.14</v>
      </c>
      <c r="F44" s="412"/>
      <c r="G44" s="404"/>
      <c r="H44" s="405"/>
      <c r="I44" s="795"/>
      <c r="K44" s="795"/>
    </row>
    <row r="45" spans="2:11" s="401" customFormat="1" ht="19.5" customHeight="1">
      <c r="B45" s="406" t="s">
        <v>632</v>
      </c>
      <c r="C45" s="521"/>
      <c r="D45" s="521"/>
      <c r="E45" s="521"/>
      <c r="F45" s="412"/>
      <c r="G45" s="404"/>
      <c r="H45" s="405"/>
      <c r="I45" s="795"/>
      <c r="K45" s="795"/>
    </row>
    <row r="46" spans="1:11" s="401" customFormat="1" ht="25.5" customHeight="1">
      <c r="A46" s="417"/>
      <c r="B46" s="411" t="s">
        <v>21</v>
      </c>
      <c r="C46" s="521">
        <v>5824.53</v>
      </c>
      <c r="D46" s="521">
        <v>5840.49</v>
      </c>
      <c r="E46" s="521">
        <v>5824.53</v>
      </c>
      <c r="F46" s="412"/>
      <c r="G46" s="404">
        <f>+D46-C46</f>
        <v>15.960000000000036</v>
      </c>
      <c r="H46" s="405">
        <f>+E46-D46</f>
        <v>-15.960000000000036</v>
      </c>
      <c r="I46" s="794"/>
      <c r="K46" s="794"/>
    </row>
    <row r="47" spans="2:11" s="401" customFormat="1" ht="24.75" customHeight="1">
      <c r="B47" s="411" t="s">
        <v>22</v>
      </c>
      <c r="C47" s="521"/>
      <c r="D47" s="521"/>
      <c r="E47" s="521"/>
      <c r="F47" s="403"/>
      <c r="G47" s="404"/>
      <c r="H47" s="409"/>
      <c r="I47" s="794"/>
      <c r="K47" s="794"/>
    </row>
    <row r="48" spans="2:11" s="401" customFormat="1" ht="28.5" customHeight="1">
      <c r="B48" s="411" t="s">
        <v>23</v>
      </c>
      <c r="C48" s="524">
        <f>C49+C53</f>
        <v>0</v>
      </c>
      <c r="D48" s="524">
        <f>D49+D53</f>
        <v>0</v>
      </c>
      <c r="E48" s="524">
        <f>E49+E53</f>
        <v>0</v>
      </c>
      <c r="F48" s="412"/>
      <c r="G48" s="404">
        <f>+D48-C48</f>
        <v>0</v>
      </c>
      <c r="H48" s="405">
        <f>+E48-D48</f>
        <v>0</v>
      </c>
      <c r="I48" s="795"/>
      <c r="K48" s="795"/>
    </row>
    <row r="49" spans="2:11" s="401" customFormat="1" ht="19.5" customHeight="1">
      <c r="B49" s="406" t="s">
        <v>127</v>
      </c>
      <c r="C49" s="525">
        <f>SUM(C50:C52)</f>
        <v>0</v>
      </c>
      <c r="D49" s="525">
        <f>SUM(D50:D52)</f>
        <v>0</v>
      </c>
      <c r="E49" s="525">
        <f>SUM(E50:E52)</f>
        <v>0</v>
      </c>
      <c r="F49" s="407"/>
      <c r="G49" s="408"/>
      <c r="H49" s="409"/>
      <c r="I49" s="794"/>
      <c r="K49" s="794"/>
    </row>
    <row r="50" spans="2:11" s="401" customFormat="1" ht="19.5" customHeight="1">
      <c r="B50" s="406" t="s">
        <v>633</v>
      </c>
      <c r="C50" s="522"/>
      <c r="D50" s="521"/>
      <c r="E50" s="522"/>
      <c r="F50" s="407"/>
      <c r="G50" s="408"/>
      <c r="H50" s="409"/>
      <c r="I50" s="795"/>
      <c r="K50" s="795"/>
    </row>
    <row r="51" spans="2:11" s="401" customFormat="1" ht="19.5" customHeight="1">
      <c r="B51" s="406" t="s">
        <v>634</v>
      </c>
      <c r="C51" s="522"/>
      <c r="D51" s="521"/>
      <c r="E51" s="522"/>
      <c r="F51" s="407"/>
      <c r="G51" s="408"/>
      <c r="H51" s="409"/>
      <c r="I51" s="795"/>
      <c r="K51" s="795"/>
    </row>
    <row r="52" spans="2:11" s="401" customFormat="1" ht="19.5" customHeight="1">
      <c r="B52" s="406" t="s">
        <v>635</v>
      </c>
      <c r="C52" s="522"/>
      <c r="D52" s="521"/>
      <c r="E52" s="522"/>
      <c r="F52" s="407"/>
      <c r="G52" s="408"/>
      <c r="H52" s="409"/>
      <c r="I52" s="795"/>
      <c r="K52" s="795"/>
    </row>
    <row r="53" spans="2:11" s="401" customFormat="1" ht="19.5" customHeight="1">
      <c r="B53" s="406" t="s">
        <v>408</v>
      </c>
      <c r="C53" s="525">
        <f>SUM(C54:C56)</f>
        <v>0</v>
      </c>
      <c r="D53" s="525">
        <f>SUM(D54:D56)</f>
        <v>0</v>
      </c>
      <c r="E53" s="525">
        <f>SUM(E54:E56)</f>
        <v>0</v>
      </c>
      <c r="F53" s="410"/>
      <c r="G53" s="408">
        <f>+D53-C53</f>
        <v>0</v>
      </c>
      <c r="H53" s="409">
        <f>-E53-D53</f>
        <v>0</v>
      </c>
      <c r="I53" s="794"/>
      <c r="K53" s="794"/>
    </row>
    <row r="54" spans="2:11" s="401" customFormat="1" ht="19.5" customHeight="1">
      <c r="B54" s="406" t="s">
        <v>633</v>
      </c>
      <c r="C54" s="522"/>
      <c r="D54" s="522"/>
      <c r="E54" s="522"/>
      <c r="F54" s="410"/>
      <c r="G54" s="408"/>
      <c r="H54" s="409"/>
      <c r="I54" s="795"/>
      <c r="K54" s="795"/>
    </row>
    <row r="55" spans="2:11" s="401" customFormat="1" ht="19.5" customHeight="1">
      <c r="B55" s="406" t="s">
        <v>634</v>
      </c>
      <c r="C55" s="522"/>
      <c r="D55" s="522"/>
      <c r="E55" s="522"/>
      <c r="F55" s="410"/>
      <c r="G55" s="408"/>
      <c r="H55" s="409"/>
      <c r="I55" s="795"/>
      <c r="K55" s="795"/>
    </row>
    <row r="56" spans="2:11" s="401" customFormat="1" ht="19.5" customHeight="1">
      <c r="B56" s="406" t="s">
        <v>635</v>
      </c>
      <c r="C56" s="522"/>
      <c r="D56" s="522"/>
      <c r="E56" s="522"/>
      <c r="F56" s="410"/>
      <c r="G56" s="408"/>
      <c r="H56" s="409"/>
      <c r="I56" s="795"/>
      <c r="K56" s="795"/>
    </row>
    <row r="57" spans="2:11" s="401" customFormat="1" ht="27" customHeight="1">
      <c r="B57" s="411" t="s">
        <v>339</v>
      </c>
      <c r="C57" s="522"/>
      <c r="D57" s="522"/>
      <c r="E57" s="522"/>
      <c r="F57" s="410"/>
      <c r="G57" s="408"/>
      <c r="H57" s="409"/>
      <c r="I57" s="794"/>
      <c r="K57" s="794"/>
    </row>
    <row r="58" spans="2:9" s="401" customFormat="1" ht="27" customHeight="1">
      <c r="B58" s="411" t="s">
        <v>230</v>
      </c>
      <c r="C58" s="524">
        <f>SUM(C59:C61)</f>
        <v>0</v>
      </c>
      <c r="D58" s="524">
        <f>SUM(D59:D61)</f>
        <v>0</v>
      </c>
      <c r="E58" s="524">
        <f>SUM(E59:E61)</f>
        <v>0</v>
      </c>
      <c r="F58" s="410"/>
      <c r="G58" s="408"/>
      <c r="H58" s="409"/>
      <c r="I58" s="793"/>
    </row>
    <row r="59" spans="2:9" s="401" customFormat="1" ht="19.5" customHeight="1">
      <c r="B59" s="406" t="s">
        <v>231</v>
      </c>
      <c r="C59" s="522"/>
      <c r="D59" s="522"/>
      <c r="E59" s="522"/>
      <c r="F59" s="410"/>
      <c r="G59" s="408"/>
      <c r="H59" s="409"/>
      <c r="I59" s="796"/>
    </row>
    <row r="60" spans="2:9" s="401" customFormat="1" ht="19.5" customHeight="1">
      <c r="B60" s="406" t="s">
        <v>232</v>
      </c>
      <c r="C60" s="522"/>
      <c r="D60" s="522"/>
      <c r="E60" s="522"/>
      <c r="F60" s="410"/>
      <c r="G60" s="408"/>
      <c r="H60" s="409"/>
      <c r="I60" s="796"/>
    </row>
    <row r="61" spans="2:9" s="401" customFormat="1" ht="19.5" customHeight="1">
      <c r="B61" s="406" t="s">
        <v>233</v>
      </c>
      <c r="C61" s="522"/>
      <c r="D61" s="522"/>
      <c r="E61" s="522"/>
      <c r="F61" s="410"/>
      <c r="G61" s="408"/>
      <c r="H61" s="409"/>
      <c r="I61" s="796"/>
    </row>
    <row r="62" spans="1:9" s="401" customFormat="1" ht="29.25" customHeight="1">
      <c r="A62" s="417"/>
      <c r="B62" s="411" t="s">
        <v>229</v>
      </c>
      <c r="C62" s="524">
        <f>SUM(C63:C64)</f>
        <v>5078.1</v>
      </c>
      <c r="D62" s="524">
        <f>SUM(D63:D64)</f>
        <v>32795.950000000004</v>
      </c>
      <c r="E62" s="524">
        <f>SUM(E63:E64)</f>
        <v>0</v>
      </c>
      <c r="F62" s="410"/>
      <c r="G62" s="408">
        <f>+D62-C62</f>
        <v>27717.850000000006</v>
      </c>
      <c r="H62" s="409">
        <f>-E62-D62</f>
        <v>-32795.950000000004</v>
      </c>
      <c r="I62" s="793"/>
    </row>
    <row r="63" spans="1:9" s="401" customFormat="1" ht="21.75" customHeight="1">
      <c r="A63" s="417"/>
      <c r="B63" s="406" t="s">
        <v>677</v>
      </c>
      <c r="C63" s="522">
        <f>'INF. ADIC. CPYG '!G37</f>
        <v>-11663.24</v>
      </c>
      <c r="D63" s="522">
        <f>'INF. ADIC. CPYG '!H37</f>
        <v>-5830.6</v>
      </c>
      <c r="E63" s="522">
        <f>'INF. ADIC. CPYG '!I37</f>
        <v>0</v>
      </c>
      <c r="F63" s="410"/>
      <c r="G63" s="408"/>
      <c r="H63" s="409"/>
      <c r="I63" s="796"/>
    </row>
    <row r="64" spans="1:9" s="401" customFormat="1" ht="21" customHeight="1">
      <c r="A64" s="417"/>
      <c r="B64" s="406" t="s">
        <v>678</v>
      </c>
      <c r="C64" s="522">
        <f>'INF. ADIC. CPYG '!G33</f>
        <v>16741.34</v>
      </c>
      <c r="D64" s="522">
        <f>'INF. ADIC. CPYG '!H33</f>
        <v>38626.55</v>
      </c>
      <c r="E64" s="522">
        <f>'INF. ADIC. CPYG '!I33</f>
        <v>0</v>
      </c>
      <c r="F64" s="410"/>
      <c r="G64" s="408"/>
      <c r="H64" s="409"/>
      <c r="I64" s="796"/>
    </row>
    <row r="65" spans="2:9" s="401" customFormat="1" ht="33" customHeight="1">
      <c r="B65" s="411" t="s">
        <v>234</v>
      </c>
      <c r="C65" s="524">
        <f>C7+C8+C11+C12+C17+C29+C37+C42+C46+C47+C48+C62+C57+C58</f>
        <v>-1887449.610000001</v>
      </c>
      <c r="D65" s="524">
        <f>D7+D8+D11+D12+D17+D29+D37+D42+D46+D47+D48+D62+D57+D58</f>
        <v>-1905144.28</v>
      </c>
      <c r="E65" s="524">
        <f>E7+E8+E11+E12+E17+E29+E37+E42+E46+E47+E48+E62+E57+E58</f>
        <v>-2056196.0099999977</v>
      </c>
      <c r="F65" s="403"/>
      <c r="G65" s="404">
        <f>+D65-C65</f>
        <v>-17694.669999998994</v>
      </c>
      <c r="H65" s="405">
        <f>+E65-D65</f>
        <v>-151051.72999999765</v>
      </c>
      <c r="I65" s="796"/>
    </row>
    <row r="66" spans="2:9" s="401" customFormat="1" ht="27.75" customHeight="1">
      <c r="B66" s="411" t="s">
        <v>235</v>
      </c>
      <c r="C66" s="524">
        <f>SUM(C67+C70+C73)</f>
        <v>844.74</v>
      </c>
      <c r="D66" s="524">
        <f>SUM(D67+D70+D73)</f>
        <v>3000</v>
      </c>
      <c r="E66" s="524">
        <f>SUM(E67+E70+E73)</f>
        <v>3000</v>
      </c>
      <c r="F66" s="403"/>
      <c r="G66" s="404">
        <f>+D66-C66</f>
        <v>2155.26</v>
      </c>
      <c r="H66" s="405">
        <f>+E66-D66</f>
        <v>0</v>
      </c>
      <c r="I66" s="796"/>
    </row>
    <row r="67" spans="2:9" s="401" customFormat="1" ht="19.5" customHeight="1">
      <c r="B67" s="406" t="s">
        <v>24</v>
      </c>
      <c r="C67" s="525">
        <f>SUM(C68:C69)</f>
        <v>0</v>
      </c>
      <c r="D67" s="525">
        <f>SUM(D68:D69)</f>
        <v>0</v>
      </c>
      <c r="E67" s="525">
        <f>SUM(E68:E69)</f>
        <v>0</v>
      </c>
      <c r="F67" s="410"/>
      <c r="G67" s="415"/>
      <c r="H67" s="409"/>
      <c r="I67" s="793"/>
    </row>
    <row r="68" spans="2:9" s="401" customFormat="1" ht="19.5" customHeight="1">
      <c r="B68" s="406" t="s">
        <v>25</v>
      </c>
      <c r="C68" s="522"/>
      <c r="D68" s="521"/>
      <c r="E68" s="522"/>
      <c r="F68" s="410"/>
      <c r="G68" s="415"/>
      <c r="H68" s="409"/>
      <c r="I68" s="796"/>
    </row>
    <row r="69" spans="2:9" s="401" customFormat="1" ht="19.5" customHeight="1">
      <c r="B69" s="406" t="s">
        <v>26</v>
      </c>
      <c r="C69" s="522"/>
      <c r="D69" s="521"/>
      <c r="E69" s="522"/>
      <c r="F69" s="410"/>
      <c r="G69" s="415"/>
      <c r="H69" s="409"/>
      <c r="I69" s="796"/>
    </row>
    <row r="70" spans="2:9" s="401" customFormat="1" ht="19.5" customHeight="1">
      <c r="B70" s="406" t="s">
        <v>409</v>
      </c>
      <c r="C70" s="525">
        <f>SUM(C71:C72)</f>
        <v>844.74</v>
      </c>
      <c r="D70" s="525">
        <f>SUM(D71:D72)</f>
        <v>3000</v>
      </c>
      <c r="E70" s="525">
        <f>SUM(E71:E72)</f>
        <v>3000</v>
      </c>
      <c r="F70" s="410"/>
      <c r="G70" s="408">
        <f>+D70-C70</f>
        <v>2155.26</v>
      </c>
      <c r="H70" s="409">
        <f>-E70-D70</f>
        <v>-6000</v>
      </c>
      <c r="I70" s="793"/>
    </row>
    <row r="71" spans="2:9" s="401" customFormat="1" ht="19.5" customHeight="1">
      <c r="B71" s="406" t="s">
        <v>27</v>
      </c>
      <c r="C71" s="522"/>
      <c r="D71" s="522"/>
      <c r="E71" s="522"/>
      <c r="F71" s="410"/>
      <c r="G71" s="415"/>
      <c r="H71" s="409"/>
      <c r="I71" s="796"/>
    </row>
    <row r="72" spans="2:9" s="401" customFormat="1" ht="19.5" customHeight="1">
      <c r="B72" s="406" t="s">
        <v>28</v>
      </c>
      <c r="C72" s="522">
        <v>844.74</v>
      </c>
      <c r="D72" s="522">
        <v>3000</v>
      </c>
      <c r="E72" s="522">
        <v>3000</v>
      </c>
      <c r="F72" s="420"/>
      <c r="G72" s="408">
        <f>+D72-C72</f>
        <v>2155.26</v>
      </c>
      <c r="H72" s="409">
        <f>-E72-D72</f>
        <v>-6000</v>
      </c>
      <c r="I72" s="796"/>
    </row>
    <row r="73" spans="2:11" s="401" customFormat="1" ht="19.5" customHeight="1">
      <c r="B73" s="406" t="s">
        <v>340</v>
      </c>
      <c r="C73" s="522"/>
      <c r="D73" s="522"/>
      <c r="E73" s="522"/>
      <c r="F73" s="420"/>
      <c r="G73" s="408"/>
      <c r="H73" s="409"/>
      <c r="I73" s="794"/>
      <c r="K73" s="794"/>
    </row>
    <row r="74" spans="2:9" s="401" customFormat="1" ht="19.5" customHeight="1">
      <c r="B74" s="411" t="s">
        <v>236</v>
      </c>
      <c r="C74" s="524">
        <f>SUM(C75:C77)</f>
        <v>-1014.69</v>
      </c>
      <c r="D74" s="524">
        <f>SUM(D75:D77)</f>
        <v>-3000</v>
      </c>
      <c r="E74" s="524">
        <f>E75+E76+E77</f>
        <v>-3000</v>
      </c>
      <c r="F74" s="412"/>
      <c r="G74" s="404">
        <f>+D74-C74</f>
        <v>-1985.31</v>
      </c>
      <c r="H74" s="405">
        <f>+E74-D74</f>
        <v>0</v>
      </c>
      <c r="I74" s="796"/>
    </row>
    <row r="75" spans="2:9" s="401" customFormat="1" ht="19.5" customHeight="1">
      <c r="B75" s="406" t="s">
        <v>29</v>
      </c>
      <c r="C75" s="522"/>
      <c r="D75" s="521"/>
      <c r="E75" s="522"/>
      <c r="F75" s="410"/>
      <c r="G75" s="415"/>
      <c r="H75" s="409"/>
      <c r="I75" s="793"/>
    </row>
    <row r="76" spans="2:9" s="401" customFormat="1" ht="19.5" customHeight="1">
      <c r="B76" s="406" t="s">
        <v>410</v>
      </c>
      <c r="C76" s="522">
        <v>-1014.69</v>
      </c>
      <c r="D76" s="522">
        <v>-3000</v>
      </c>
      <c r="E76" s="522">
        <v>-3000</v>
      </c>
      <c r="F76" s="420"/>
      <c r="G76" s="421"/>
      <c r="H76" s="409"/>
      <c r="I76" s="793"/>
    </row>
    <row r="77" spans="2:11" s="401" customFormat="1" ht="19.5" customHeight="1">
      <c r="B77" s="406" t="s">
        <v>411</v>
      </c>
      <c r="C77" s="521"/>
      <c r="D77" s="521"/>
      <c r="E77" s="521"/>
      <c r="F77" s="422"/>
      <c r="G77" s="423"/>
      <c r="H77" s="409"/>
      <c r="I77" s="794"/>
      <c r="K77" s="794"/>
    </row>
    <row r="78" spans="2:11" s="401" customFormat="1" ht="24.75" customHeight="1">
      <c r="B78" s="411" t="s">
        <v>237</v>
      </c>
      <c r="C78" s="524">
        <f>C79+C80</f>
        <v>0</v>
      </c>
      <c r="D78" s="524">
        <f>D79+D80</f>
        <v>0</v>
      </c>
      <c r="E78" s="524">
        <f>E79+E80</f>
        <v>0</v>
      </c>
      <c r="F78" s="412"/>
      <c r="G78" s="404">
        <f>+D78-C78</f>
        <v>0</v>
      </c>
      <c r="H78" s="405">
        <f>+E78-D78</f>
        <v>0</v>
      </c>
      <c r="I78" s="794"/>
      <c r="K78" s="794"/>
    </row>
    <row r="79" spans="2:11" s="401" customFormat="1" ht="19.5" customHeight="1">
      <c r="B79" s="406" t="s">
        <v>30</v>
      </c>
      <c r="C79" s="521"/>
      <c r="D79" s="521"/>
      <c r="E79" s="521"/>
      <c r="F79" s="422"/>
      <c r="G79" s="423"/>
      <c r="H79" s="409"/>
      <c r="I79" s="795"/>
      <c r="K79" s="795"/>
    </row>
    <row r="80" spans="2:11" s="401" customFormat="1" ht="28.5" customHeight="1">
      <c r="B80" s="424" t="s">
        <v>412</v>
      </c>
      <c r="C80" s="521"/>
      <c r="D80" s="521"/>
      <c r="E80" s="521"/>
      <c r="F80" s="422"/>
      <c r="G80" s="423"/>
      <c r="H80" s="409"/>
      <c r="I80" s="795"/>
      <c r="K80" s="795"/>
    </row>
    <row r="81" spans="2:11" s="401" customFormat="1" ht="21.75" customHeight="1">
      <c r="B81" s="411" t="s">
        <v>238</v>
      </c>
      <c r="C81" s="521">
        <v>-10510.92</v>
      </c>
      <c r="D81" s="521">
        <v>1948.27</v>
      </c>
      <c r="E81" s="521">
        <v>0</v>
      </c>
      <c r="F81" s="412"/>
      <c r="G81" s="413"/>
      <c r="H81" s="409"/>
      <c r="I81" s="794"/>
      <c r="K81" s="794"/>
    </row>
    <row r="82" spans="2:11" s="401" customFormat="1" ht="28.5" customHeight="1">
      <c r="B82" s="411" t="s">
        <v>239</v>
      </c>
      <c r="C82" s="524">
        <f>SUM(C83:C84)</f>
        <v>0</v>
      </c>
      <c r="D82" s="524">
        <f>SUM(D83:D84)</f>
        <v>0</v>
      </c>
      <c r="E82" s="524">
        <f>SUM(E83:E84)</f>
        <v>0</v>
      </c>
      <c r="F82" s="403"/>
      <c r="G82" s="404"/>
      <c r="H82" s="409"/>
      <c r="I82" s="794"/>
      <c r="K82" s="794"/>
    </row>
    <row r="83" spans="2:11" s="401" customFormat="1" ht="20.25" customHeight="1">
      <c r="B83" s="406" t="s">
        <v>31</v>
      </c>
      <c r="C83" s="521"/>
      <c r="D83" s="521"/>
      <c r="E83" s="521"/>
      <c r="F83" s="418"/>
      <c r="G83" s="419"/>
      <c r="H83" s="409"/>
      <c r="I83" s="795"/>
      <c r="K83" s="795"/>
    </row>
    <row r="84" spans="2:11" s="401" customFormat="1" ht="17.25" customHeight="1">
      <c r="B84" s="424" t="s">
        <v>32</v>
      </c>
      <c r="C84" s="521"/>
      <c r="D84" s="521"/>
      <c r="E84" s="521"/>
      <c r="F84" s="418"/>
      <c r="G84" s="419"/>
      <c r="H84" s="409"/>
      <c r="I84" s="795"/>
      <c r="K84" s="795"/>
    </row>
    <row r="85" spans="2:9" s="401" customFormat="1" ht="17.25" customHeight="1">
      <c r="B85" s="411" t="s">
        <v>242</v>
      </c>
      <c r="C85" s="524">
        <f>SUM(C86:C87)</f>
        <v>0</v>
      </c>
      <c r="D85" s="524">
        <f>SUM(D86:D87)</f>
        <v>0</v>
      </c>
      <c r="E85" s="524">
        <f>SUM(E86:E87)</f>
        <v>0</v>
      </c>
      <c r="F85" s="418"/>
      <c r="G85" s="419"/>
      <c r="H85" s="409"/>
      <c r="I85" s="796"/>
    </row>
    <row r="86" spans="2:9" s="401" customFormat="1" ht="17.25" customHeight="1">
      <c r="B86" s="411" t="s">
        <v>341</v>
      </c>
      <c r="C86" s="521"/>
      <c r="D86" s="521"/>
      <c r="E86" s="521"/>
      <c r="F86" s="418"/>
      <c r="G86" s="419"/>
      <c r="H86" s="409"/>
      <c r="I86" s="793"/>
    </row>
    <row r="87" spans="2:9" s="401" customFormat="1" ht="17.25" customHeight="1">
      <c r="B87" s="411" t="s">
        <v>342</v>
      </c>
      <c r="C87" s="521"/>
      <c r="D87" s="521"/>
      <c r="E87" s="521"/>
      <c r="F87" s="418"/>
      <c r="G87" s="419"/>
      <c r="H87" s="409"/>
      <c r="I87" s="793"/>
    </row>
    <row r="88" spans="2:9" s="401" customFormat="1" ht="19.5" customHeight="1">
      <c r="B88" s="425" t="s">
        <v>375</v>
      </c>
      <c r="C88" s="524">
        <f>C66+C74+C78+C81+C82+C85</f>
        <v>-10680.87</v>
      </c>
      <c r="D88" s="524">
        <f>D66+D74+D78+D81+D82+D85</f>
        <v>1948.27</v>
      </c>
      <c r="E88" s="524">
        <f>E66+E74+E78+E81+E82+E85</f>
        <v>0</v>
      </c>
      <c r="F88" s="403"/>
      <c r="G88" s="404">
        <f aca="true" t="shared" si="0" ref="G88:H94">+D88-C88</f>
        <v>12629.140000000001</v>
      </c>
      <c r="H88" s="405">
        <f t="shared" si="0"/>
        <v>-1948.27</v>
      </c>
      <c r="I88" s="796"/>
    </row>
    <row r="89" spans="2:9" s="401" customFormat="1" ht="19.5" customHeight="1">
      <c r="B89" s="425" t="s">
        <v>413</v>
      </c>
      <c r="C89" s="524">
        <f>C88+C65</f>
        <v>-1898130.4800000011</v>
      </c>
      <c r="D89" s="526">
        <f>D88+D65</f>
        <v>-1903196.01</v>
      </c>
      <c r="E89" s="526">
        <f>E88+E65</f>
        <v>-2056196.0099999977</v>
      </c>
      <c r="F89" s="426"/>
      <c r="G89" s="404">
        <f t="shared" si="0"/>
        <v>-5065.529999998864</v>
      </c>
      <c r="H89" s="405">
        <f t="shared" si="0"/>
        <v>-152999.99999999767</v>
      </c>
      <c r="I89" s="796"/>
    </row>
    <row r="90" spans="2:9" s="401" customFormat="1" ht="21.75" customHeight="1">
      <c r="B90" s="411" t="s">
        <v>240</v>
      </c>
      <c r="C90" s="523"/>
      <c r="D90" s="523"/>
      <c r="E90" s="523"/>
      <c r="F90" s="427"/>
      <c r="G90" s="404">
        <f t="shared" si="0"/>
        <v>0</v>
      </c>
      <c r="H90" s="405">
        <f t="shared" si="0"/>
        <v>0</v>
      </c>
      <c r="I90" s="793"/>
    </row>
    <row r="91" spans="2:9" s="401" customFormat="1" ht="31.5" customHeight="1">
      <c r="B91" s="428" t="s">
        <v>33</v>
      </c>
      <c r="C91" s="524">
        <f>C89+C90</f>
        <v>-1898130.4800000011</v>
      </c>
      <c r="D91" s="524">
        <f>D89+D90</f>
        <v>-1903196.01</v>
      </c>
      <c r="E91" s="524">
        <f>E89+E90</f>
        <v>-2056196.0099999977</v>
      </c>
      <c r="F91" s="403"/>
      <c r="G91" s="404">
        <f t="shared" si="0"/>
        <v>-5065.529999998864</v>
      </c>
      <c r="H91" s="405">
        <f t="shared" si="0"/>
        <v>-152999.99999999767</v>
      </c>
      <c r="I91" s="796"/>
    </row>
    <row r="92" spans="2:9" s="401" customFormat="1" ht="19.5" customHeight="1">
      <c r="B92" s="425" t="s">
        <v>414</v>
      </c>
      <c r="C92" s="521"/>
      <c r="D92" s="521"/>
      <c r="E92" s="521"/>
      <c r="F92" s="418"/>
      <c r="G92" s="404">
        <f t="shared" si="0"/>
        <v>0</v>
      </c>
      <c r="H92" s="405">
        <f t="shared" si="0"/>
        <v>0</v>
      </c>
      <c r="I92" s="794"/>
    </row>
    <row r="93" spans="2:9" s="401" customFormat="1" ht="29.25" customHeight="1">
      <c r="B93" s="411" t="s">
        <v>241</v>
      </c>
      <c r="C93" s="521"/>
      <c r="D93" s="521"/>
      <c r="E93" s="521"/>
      <c r="F93" s="418"/>
      <c r="G93" s="404">
        <f t="shared" si="0"/>
        <v>0</v>
      </c>
      <c r="H93" s="405">
        <f t="shared" si="0"/>
        <v>0</v>
      </c>
      <c r="I93" s="810"/>
    </row>
    <row r="94" spans="2:8" s="401" customFormat="1" ht="39.75" customHeight="1">
      <c r="B94" s="429" t="s">
        <v>34</v>
      </c>
      <c r="C94" s="524">
        <f>C91+C93</f>
        <v>-1898130.4800000011</v>
      </c>
      <c r="D94" s="524">
        <f>D91+D93</f>
        <v>-1903196.01</v>
      </c>
      <c r="E94" s="524">
        <f>E91+E92+E93</f>
        <v>-2056196.0099999977</v>
      </c>
      <c r="F94" s="422"/>
      <c r="G94" s="404">
        <f t="shared" si="0"/>
        <v>-5065.529999998864</v>
      </c>
      <c r="H94" s="405">
        <f t="shared" si="0"/>
        <v>-152999.99999999767</v>
      </c>
    </row>
    <row r="95" spans="3:8" ht="19.5" customHeight="1">
      <c r="C95" s="430"/>
      <c r="D95" s="430"/>
      <c r="E95" s="430">
        <v>2056196.01</v>
      </c>
      <c r="F95" s="430"/>
      <c r="G95" s="431"/>
      <c r="H95" s="432"/>
    </row>
    <row r="96" spans="2:7" ht="19.5" customHeight="1" hidden="1">
      <c r="B96" s="433" t="s">
        <v>605</v>
      </c>
      <c r="C96" s="434"/>
      <c r="D96" s="434"/>
      <c r="E96" s="434"/>
      <c r="F96" s="434"/>
      <c r="G96" s="435"/>
    </row>
    <row r="97" spans="2:7" ht="19.5" customHeight="1" hidden="1">
      <c r="B97" s="388" t="s">
        <v>35</v>
      </c>
      <c r="C97" s="430"/>
      <c r="D97" s="430"/>
      <c r="E97" s="430"/>
      <c r="F97" s="430"/>
      <c r="G97" s="431"/>
    </row>
    <row r="98" spans="3:7" ht="19.5" customHeight="1" hidden="1">
      <c r="C98" s="430"/>
      <c r="D98" s="430"/>
      <c r="E98" s="430"/>
      <c r="F98" s="430"/>
      <c r="G98" s="431"/>
    </row>
    <row r="99" spans="3:7" ht="19.5" customHeight="1" hidden="1">
      <c r="C99" s="430"/>
      <c r="D99" s="430"/>
      <c r="E99" s="430"/>
      <c r="F99" s="430"/>
      <c r="G99" s="431"/>
    </row>
    <row r="100" spans="3:7" ht="19.5" customHeight="1" hidden="1">
      <c r="C100" s="430"/>
      <c r="D100" s="430"/>
      <c r="E100" s="430"/>
      <c r="F100" s="430"/>
      <c r="G100" s="431"/>
    </row>
    <row r="101" spans="3:7" ht="19.5" customHeight="1" hidden="1">
      <c r="C101" s="430"/>
      <c r="D101" s="430"/>
      <c r="E101" s="430"/>
      <c r="F101" s="430"/>
      <c r="G101" s="431"/>
    </row>
    <row r="102" spans="3:7" ht="19.5" customHeight="1" hidden="1">
      <c r="C102" s="436">
        <f>+PASIVO!C20</f>
        <v>-1898130.4800000011</v>
      </c>
      <c r="D102" s="436">
        <f>+PASIVO!D20</f>
        <v>-1903196.01</v>
      </c>
      <c r="E102" s="436"/>
      <c r="F102" s="436"/>
      <c r="G102" s="437"/>
    </row>
    <row r="103" spans="3:7" ht="19.5" customHeight="1" hidden="1">
      <c r="C103" s="438">
        <f>C94-C102</f>
        <v>0</v>
      </c>
      <c r="D103" s="438">
        <f>D94-D102</f>
        <v>0</v>
      </c>
      <c r="E103" s="438"/>
      <c r="F103" s="438"/>
      <c r="G103" s="439"/>
    </row>
    <row r="104" spans="3:8" s="440" customFormat="1" ht="19.5" customHeight="1" hidden="1">
      <c r="C104" s="441"/>
      <c r="D104" s="441"/>
      <c r="E104" s="441"/>
      <c r="F104" s="441"/>
      <c r="G104" s="442"/>
      <c r="H104" s="443"/>
    </row>
    <row r="105" spans="2:7" ht="19.5" customHeight="1" hidden="1">
      <c r="B105" s="388" t="s">
        <v>61</v>
      </c>
      <c r="C105" s="438">
        <f>+PASIVO!C19</f>
        <v>1903196.01</v>
      </c>
      <c r="D105" s="438">
        <f>+PASIVO!D19-PASIVO!C19</f>
        <v>0</v>
      </c>
      <c r="E105" s="438"/>
      <c r="F105" s="438"/>
      <c r="G105" s="439"/>
    </row>
    <row r="106" spans="2:7" ht="19.5" customHeight="1" hidden="1">
      <c r="B106" s="388" t="s">
        <v>62</v>
      </c>
      <c r="C106" s="438">
        <f>+C94</f>
        <v>-1898130.4800000011</v>
      </c>
      <c r="D106" s="438">
        <f>+D94</f>
        <v>-1903196.01</v>
      </c>
      <c r="E106" s="438"/>
      <c r="F106" s="438"/>
      <c r="G106" s="439"/>
    </row>
    <row r="107" spans="2:7" ht="19.5" customHeight="1" hidden="1">
      <c r="B107" s="388" t="s">
        <v>63</v>
      </c>
      <c r="C107" s="436">
        <f>SUM(C105:C106)</f>
        <v>5065.529999998864</v>
      </c>
      <c r="D107" s="436">
        <f>SUM(D105:D106)</f>
        <v>-1903196.01</v>
      </c>
      <c r="E107" s="436"/>
      <c r="F107" s="436"/>
      <c r="G107" s="437"/>
    </row>
    <row r="108" spans="2:7" ht="19.5" customHeight="1" hidden="1">
      <c r="B108" s="444" t="s">
        <v>93</v>
      </c>
      <c r="C108" s="438">
        <f>+PASIVO!C19+C94</f>
        <v>5065.529999998864</v>
      </c>
      <c r="D108" s="438">
        <f>+PASIVO!D19+D94-PASIVO!C19</f>
        <v>-1903196.01</v>
      </c>
      <c r="E108" s="438"/>
      <c r="F108" s="438"/>
      <c r="G108" s="439"/>
    </row>
    <row r="109" spans="2:7" ht="19.5" customHeight="1" hidden="1">
      <c r="B109" s="388" t="s">
        <v>94</v>
      </c>
      <c r="C109" s="430">
        <v>29502.85</v>
      </c>
      <c r="D109" s="430">
        <v>0</v>
      </c>
      <c r="E109" s="430"/>
      <c r="F109" s="430"/>
      <c r="G109" s="431"/>
    </row>
    <row r="110" spans="2:7" ht="19.5" customHeight="1" hidden="1">
      <c r="B110" s="388" t="s">
        <v>88</v>
      </c>
      <c r="C110" s="445">
        <f>+C108-C109</f>
        <v>-24437.320000001135</v>
      </c>
      <c r="D110" s="438">
        <f>+D108-D109</f>
        <v>-1903196.01</v>
      </c>
      <c r="E110" s="445"/>
      <c r="F110" s="445"/>
      <c r="G110" s="446"/>
    </row>
    <row r="111" spans="3:7" ht="19.5" customHeight="1" hidden="1">
      <c r="C111" s="430"/>
      <c r="D111" s="430"/>
      <c r="E111" s="430"/>
      <c r="F111" s="430"/>
      <c r="G111" s="431"/>
    </row>
    <row r="112" spans="3:7" ht="19.5" customHeight="1" hidden="1">
      <c r="C112" s="430"/>
      <c r="D112" s="430"/>
      <c r="E112" s="430"/>
      <c r="F112" s="430"/>
      <c r="G112" s="431"/>
    </row>
    <row r="113" spans="3:7" ht="19.5" customHeight="1" hidden="1">
      <c r="C113" s="430"/>
      <c r="D113" s="430"/>
      <c r="E113" s="430"/>
      <c r="F113" s="430"/>
      <c r="G113" s="431"/>
    </row>
    <row r="114" spans="3:7" ht="19.5" customHeight="1" hidden="1">
      <c r="C114" s="430"/>
      <c r="D114" s="430"/>
      <c r="E114" s="430"/>
      <c r="F114" s="430"/>
      <c r="G114" s="431"/>
    </row>
    <row r="115" spans="3:7" ht="19.5" customHeight="1" hidden="1">
      <c r="C115" s="430"/>
      <c r="D115" s="430"/>
      <c r="E115" s="430"/>
      <c r="F115" s="430"/>
      <c r="G115" s="431"/>
    </row>
    <row r="116" spans="3:7" ht="19.5" customHeight="1" hidden="1">
      <c r="C116" s="430"/>
      <c r="D116" s="430"/>
      <c r="E116" s="430"/>
      <c r="F116" s="430"/>
      <c r="G116" s="431"/>
    </row>
    <row r="117" spans="3:7" ht="19.5" customHeight="1">
      <c r="C117" s="430"/>
      <c r="D117" s="430"/>
      <c r="E117" s="430">
        <f>+E95+E94</f>
        <v>2.3283064365386963E-09</v>
      </c>
      <c r="F117" s="430"/>
      <c r="G117" s="431"/>
    </row>
    <row r="118" spans="3:7" ht="19.5" customHeight="1">
      <c r="C118" s="430"/>
      <c r="D118" s="430"/>
      <c r="E118" s="430"/>
      <c r="F118" s="430"/>
      <c r="G118" s="431"/>
    </row>
    <row r="119" spans="3:7" ht="19.5" customHeight="1">
      <c r="C119" s="430"/>
      <c r="D119" s="430"/>
      <c r="E119" s="430"/>
      <c r="F119" s="430"/>
      <c r="G119" s="431"/>
    </row>
    <row r="120" spans="3:7" ht="19.5" customHeight="1">
      <c r="C120" s="430"/>
      <c r="D120" s="430"/>
      <c r="E120" s="430"/>
      <c r="F120" s="430"/>
      <c r="G120" s="431"/>
    </row>
    <row r="121" spans="3:7" ht="19.5" customHeight="1">
      <c r="C121" s="430"/>
      <c r="D121" s="430"/>
      <c r="E121" s="430"/>
      <c r="F121" s="430"/>
      <c r="G121" s="431"/>
    </row>
    <row r="122" spans="3:7" ht="19.5" customHeight="1">
      <c r="C122" s="430"/>
      <c r="D122" s="430"/>
      <c r="E122" s="430"/>
      <c r="F122" s="430"/>
      <c r="G122" s="431"/>
    </row>
    <row r="123" spans="3:7" ht="19.5" customHeight="1">
      <c r="C123" s="430"/>
      <c r="D123" s="430"/>
      <c r="E123" s="430"/>
      <c r="F123" s="430"/>
      <c r="G123" s="431"/>
    </row>
    <row r="124" spans="3:7" ht="19.5" customHeight="1">
      <c r="C124" s="430"/>
      <c r="D124" s="430"/>
      <c r="E124" s="430"/>
      <c r="F124" s="430"/>
      <c r="G124" s="431"/>
    </row>
    <row r="125" spans="3:7" ht="19.5" customHeight="1">
      <c r="C125" s="430"/>
      <c r="D125" s="430"/>
      <c r="E125" s="430"/>
      <c r="F125" s="430"/>
      <c r="G125" s="431"/>
    </row>
    <row r="126" spans="3:7" ht="19.5" customHeight="1">
      <c r="C126" s="430"/>
      <c r="D126" s="430"/>
      <c r="E126" s="430"/>
      <c r="F126" s="430"/>
      <c r="G126" s="431"/>
    </row>
    <row r="127" spans="3:7" ht="19.5" customHeight="1">
      <c r="C127" s="430"/>
      <c r="D127" s="430"/>
      <c r="E127" s="430"/>
      <c r="F127" s="430"/>
      <c r="G127" s="431"/>
    </row>
    <row r="128" spans="3:7" ht="19.5" customHeight="1">
      <c r="C128" s="430"/>
      <c r="D128" s="430"/>
      <c r="E128" s="430"/>
      <c r="F128" s="430"/>
      <c r="G128" s="431"/>
    </row>
    <row r="129" spans="3:7" ht="19.5" customHeight="1">
      <c r="C129" s="430"/>
      <c r="D129" s="430"/>
      <c r="E129" s="430"/>
      <c r="F129" s="430"/>
      <c r="G129" s="431"/>
    </row>
    <row r="130" spans="3:7" ht="19.5" customHeight="1">
      <c r="C130" s="430"/>
      <c r="D130" s="430"/>
      <c r="E130" s="430"/>
      <c r="F130" s="430"/>
      <c r="G130" s="431"/>
    </row>
    <row r="131" spans="3:7" ht="19.5" customHeight="1">
      <c r="C131" s="430"/>
      <c r="D131" s="430"/>
      <c r="E131" s="430"/>
      <c r="F131" s="430"/>
      <c r="G131" s="431"/>
    </row>
    <row r="132" spans="3:7" ht="19.5" customHeight="1">
      <c r="C132" s="430"/>
      <c r="D132" s="430"/>
      <c r="E132" s="430"/>
      <c r="F132" s="430"/>
      <c r="G132" s="431"/>
    </row>
    <row r="133" spans="3:7" ht="19.5" customHeight="1">
      <c r="C133" s="430"/>
      <c r="D133" s="430"/>
      <c r="E133" s="430"/>
      <c r="F133" s="430"/>
      <c r="G133" s="431"/>
    </row>
    <row r="134" spans="3:7" ht="19.5" customHeight="1">
      <c r="C134" s="430"/>
      <c r="D134" s="430"/>
      <c r="E134" s="430"/>
      <c r="F134" s="430"/>
      <c r="G134" s="431"/>
    </row>
    <row r="135" spans="3:7" ht="19.5" customHeight="1">
      <c r="C135" s="430"/>
      <c r="D135" s="430"/>
      <c r="E135" s="430"/>
      <c r="F135" s="430"/>
      <c r="G135" s="431"/>
    </row>
    <row r="136" spans="3:7" ht="19.5" customHeight="1">
      <c r="C136" s="430"/>
      <c r="D136" s="430"/>
      <c r="E136" s="430"/>
      <c r="F136" s="430"/>
      <c r="G136" s="431"/>
    </row>
    <row r="137" spans="3:7" ht="19.5" customHeight="1">
      <c r="C137" s="430"/>
      <c r="D137" s="430"/>
      <c r="E137" s="430"/>
      <c r="F137" s="430"/>
      <c r="G137" s="431"/>
    </row>
    <row r="138" spans="3:7" ht="19.5" customHeight="1">
      <c r="C138" s="430"/>
      <c r="D138" s="430"/>
      <c r="E138" s="430"/>
      <c r="F138" s="430"/>
      <c r="G138" s="431"/>
    </row>
    <row r="139" spans="3:7" ht="19.5" customHeight="1">
      <c r="C139" s="430"/>
      <c r="D139" s="430"/>
      <c r="E139" s="430"/>
      <c r="F139" s="430"/>
      <c r="G139" s="431"/>
    </row>
    <row r="140" spans="3:7" ht="19.5" customHeight="1">
      <c r="C140" s="430"/>
      <c r="D140" s="430"/>
      <c r="E140" s="430"/>
      <c r="F140" s="430"/>
      <c r="G140" s="431"/>
    </row>
    <row r="141" spans="3:7" ht="19.5" customHeight="1">
      <c r="C141" s="430"/>
      <c r="D141" s="430"/>
      <c r="E141" s="430"/>
      <c r="F141" s="430"/>
      <c r="G141" s="431"/>
    </row>
    <row r="142" spans="3:7" ht="19.5" customHeight="1">
      <c r="C142" s="430"/>
      <c r="D142" s="430"/>
      <c r="E142" s="430"/>
      <c r="F142" s="430"/>
      <c r="G142" s="431"/>
    </row>
    <row r="143" spans="3:7" ht="19.5" customHeight="1">
      <c r="C143" s="430"/>
      <c r="D143" s="430"/>
      <c r="E143" s="430"/>
      <c r="F143" s="430"/>
      <c r="G143" s="431"/>
    </row>
    <row r="144" spans="3:7" ht="19.5" customHeight="1">
      <c r="C144" s="430"/>
      <c r="D144" s="430"/>
      <c r="E144" s="430"/>
      <c r="F144" s="430"/>
      <c r="G144" s="431"/>
    </row>
    <row r="145" spans="3:7" ht="19.5" customHeight="1">
      <c r="C145" s="430"/>
      <c r="D145" s="430"/>
      <c r="E145" s="430"/>
      <c r="F145" s="430"/>
      <c r="G145" s="431"/>
    </row>
    <row r="146" spans="3:7" ht="19.5" customHeight="1">
      <c r="C146" s="430"/>
      <c r="D146" s="430"/>
      <c r="E146" s="430"/>
      <c r="F146" s="430"/>
      <c r="G146" s="431"/>
    </row>
    <row r="147" spans="3:7" ht="19.5" customHeight="1">
      <c r="C147" s="430"/>
      <c r="D147" s="430"/>
      <c r="E147" s="430"/>
      <c r="F147" s="430"/>
      <c r="G147" s="431"/>
    </row>
    <row r="148" spans="3:7" ht="19.5" customHeight="1">
      <c r="C148" s="430"/>
      <c r="D148" s="430"/>
      <c r="E148" s="430"/>
      <c r="F148" s="430"/>
      <c r="G148" s="431"/>
    </row>
    <row r="149" spans="3:7" ht="19.5" customHeight="1">
      <c r="C149" s="430"/>
      <c r="D149" s="430"/>
      <c r="E149" s="430"/>
      <c r="F149" s="430"/>
      <c r="G149" s="431"/>
    </row>
    <row r="150" spans="3:7" ht="19.5" customHeight="1">
      <c r="C150" s="430"/>
      <c r="D150" s="430"/>
      <c r="E150" s="430"/>
      <c r="F150" s="430"/>
      <c r="G150" s="431"/>
    </row>
    <row r="151" spans="3:7" ht="19.5" customHeight="1">
      <c r="C151" s="430"/>
      <c r="D151" s="430"/>
      <c r="E151" s="430"/>
      <c r="F151" s="430"/>
      <c r="G151" s="431"/>
    </row>
    <row r="152" spans="3:7" ht="19.5" customHeight="1">
      <c r="C152" s="430"/>
      <c r="D152" s="430"/>
      <c r="E152" s="430"/>
      <c r="F152" s="430"/>
      <c r="G152" s="431"/>
    </row>
    <row r="153" spans="3:7" ht="19.5" customHeight="1">
      <c r="C153" s="430"/>
      <c r="D153" s="430"/>
      <c r="E153" s="430"/>
      <c r="F153" s="430"/>
      <c r="G153" s="431"/>
    </row>
    <row r="154" spans="3:7" ht="19.5" customHeight="1">
      <c r="C154" s="430"/>
      <c r="D154" s="430"/>
      <c r="E154" s="430"/>
      <c r="F154" s="430"/>
      <c r="G154" s="431"/>
    </row>
    <row r="155" spans="3:7" ht="19.5" customHeight="1">
      <c r="C155" s="430"/>
      <c r="D155" s="430"/>
      <c r="E155" s="430"/>
      <c r="F155" s="430"/>
      <c r="G155" s="431"/>
    </row>
    <row r="156" spans="3:7" ht="19.5" customHeight="1">
      <c r="C156" s="430"/>
      <c r="D156" s="430"/>
      <c r="E156" s="430"/>
      <c r="F156" s="430"/>
      <c r="G156" s="431"/>
    </row>
    <row r="157" spans="3:7" ht="19.5" customHeight="1">
      <c r="C157" s="430"/>
      <c r="D157" s="430"/>
      <c r="E157" s="430"/>
      <c r="F157" s="430"/>
      <c r="G157" s="431"/>
    </row>
    <row r="158" spans="3:7" ht="19.5" customHeight="1">
      <c r="C158" s="430"/>
      <c r="D158" s="430"/>
      <c r="E158" s="430"/>
      <c r="F158" s="430"/>
      <c r="G158" s="431"/>
    </row>
    <row r="159" spans="3:7" ht="19.5" customHeight="1">
      <c r="C159" s="430"/>
      <c r="D159" s="430"/>
      <c r="E159" s="430"/>
      <c r="F159" s="430"/>
      <c r="G159" s="431"/>
    </row>
    <row r="160" spans="3:7" ht="19.5" customHeight="1">
      <c r="C160" s="430"/>
      <c r="D160" s="430"/>
      <c r="E160" s="430"/>
      <c r="F160" s="430"/>
      <c r="G160" s="431"/>
    </row>
    <row r="161" spans="3:7" ht="19.5" customHeight="1">
      <c r="C161" s="430"/>
      <c r="D161" s="430"/>
      <c r="E161" s="430"/>
      <c r="F161" s="430"/>
      <c r="G161" s="431"/>
    </row>
    <row r="162" spans="3:7" ht="19.5" customHeight="1">
      <c r="C162" s="430"/>
      <c r="D162" s="430"/>
      <c r="E162" s="430"/>
      <c r="F162" s="430"/>
      <c r="G162" s="431"/>
    </row>
    <row r="163" spans="3:7" ht="19.5" customHeight="1">
      <c r="C163" s="430"/>
      <c r="D163" s="430"/>
      <c r="E163" s="430"/>
      <c r="F163" s="430"/>
      <c r="G163" s="431"/>
    </row>
    <row r="164" spans="3:7" ht="19.5" customHeight="1">
      <c r="C164" s="430"/>
      <c r="D164" s="430"/>
      <c r="E164" s="430"/>
      <c r="F164" s="430"/>
      <c r="G164" s="431"/>
    </row>
    <row r="165" spans="3:7" ht="19.5" customHeight="1">
      <c r="C165" s="430"/>
      <c r="D165" s="430"/>
      <c r="E165" s="430"/>
      <c r="F165" s="430"/>
      <c r="G165" s="431"/>
    </row>
    <row r="166" spans="3:7" ht="19.5" customHeight="1">
      <c r="C166" s="430"/>
      <c r="D166" s="430"/>
      <c r="E166" s="430"/>
      <c r="F166" s="430"/>
      <c r="G166" s="431"/>
    </row>
    <row r="167" spans="3:7" ht="19.5" customHeight="1">
      <c r="C167" s="430"/>
      <c r="D167" s="430"/>
      <c r="E167" s="430"/>
      <c r="F167" s="430"/>
      <c r="G167" s="431"/>
    </row>
    <row r="168" spans="3:7" ht="19.5" customHeight="1">
      <c r="C168" s="430"/>
      <c r="D168" s="430"/>
      <c r="E168" s="430"/>
      <c r="F168" s="430"/>
      <c r="G168" s="431"/>
    </row>
    <row r="169" spans="3:7" ht="19.5" customHeight="1">
      <c r="C169" s="430"/>
      <c r="D169" s="430"/>
      <c r="E169" s="430"/>
      <c r="F169" s="430"/>
      <c r="G169" s="431"/>
    </row>
    <row r="170" spans="3:7" ht="19.5" customHeight="1">
      <c r="C170" s="430"/>
      <c r="D170" s="430"/>
      <c r="E170" s="430"/>
      <c r="F170" s="430"/>
      <c r="G170" s="431"/>
    </row>
    <row r="171" spans="3:7" ht="19.5" customHeight="1">
      <c r="C171" s="430"/>
      <c r="D171" s="430"/>
      <c r="E171" s="430"/>
      <c r="F171" s="430"/>
      <c r="G171" s="431"/>
    </row>
    <row r="172" spans="3:7" ht="19.5" customHeight="1">
      <c r="C172" s="430"/>
      <c r="D172" s="430"/>
      <c r="E172" s="430"/>
      <c r="F172" s="430"/>
      <c r="G172" s="431"/>
    </row>
    <row r="173" spans="3:7" ht="19.5" customHeight="1">
      <c r="C173" s="430"/>
      <c r="D173" s="430"/>
      <c r="E173" s="430"/>
      <c r="F173" s="430"/>
      <c r="G173" s="431"/>
    </row>
    <row r="174" spans="3:7" ht="19.5" customHeight="1">
      <c r="C174" s="430"/>
      <c r="D174" s="430"/>
      <c r="E174" s="430"/>
      <c r="F174" s="430"/>
      <c r="G174" s="431"/>
    </row>
    <row r="175" spans="3:7" ht="19.5" customHeight="1">
      <c r="C175" s="430"/>
      <c r="D175" s="430"/>
      <c r="E175" s="430"/>
      <c r="F175" s="430"/>
      <c r="G175" s="431"/>
    </row>
    <row r="176" spans="3:7" ht="19.5" customHeight="1">
      <c r="C176" s="430"/>
      <c r="D176" s="430"/>
      <c r="E176" s="430"/>
      <c r="F176" s="430"/>
      <c r="G176" s="431"/>
    </row>
    <row r="177" spans="3:7" ht="19.5" customHeight="1">
      <c r="C177" s="430"/>
      <c r="D177" s="430"/>
      <c r="E177" s="430"/>
      <c r="F177" s="430"/>
      <c r="G177" s="431"/>
    </row>
    <row r="178" spans="3:7" ht="19.5" customHeight="1">
      <c r="C178" s="430"/>
      <c r="D178" s="430"/>
      <c r="E178" s="430"/>
      <c r="F178" s="430"/>
      <c r="G178" s="431"/>
    </row>
    <row r="179" spans="3:7" ht="19.5" customHeight="1">
      <c r="C179" s="430"/>
      <c r="D179" s="430"/>
      <c r="E179" s="430"/>
      <c r="F179" s="430"/>
      <c r="G179" s="431"/>
    </row>
    <row r="180" spans="3:7" ht="19.5" customHeight="1">
      <c r="C180" s="430"/>
      <c r="D180" s="430"/>
      <c r="E180" s="430"/>
      <c r="F180" s="430"/>
      <c r="G180" s="431"/>
    </row>
    <row r="181" spans="3:7" ht="19.5" customHeight="1">
      <c r="C181" s="430"/>
      <c r="D181" s="430"/>
      <c r="E181" s="430"/>
      <c r="F181" s="430"/>
      <c r="G181" s="431"/>
    </row>
    <row r="182" spans="3:7" ht="19.5" customHeight="1">
      <c r="C182" s="430"/>
      <c r="D182" s="430"/>
      <c r="E182" s="430"/>
      <c r="F182" s="430"/>
      <c r="G182" s="431"/>
    </row>
    <row r="183" spans="3:7" ht="19.5" customHeight="1">
      <c r="C183" s="430"/>
      <c r="D183" s="430"/>
      <c r="E183" s="430"/>
      <c r="F183" s="430"/>
      <c r="G183" s="431"/>
    </row>
    <row r="184" spans="3:7" ht="19.5" customHeight="1">
      <c r="C184" s="430"/>
      <c r="D184" s="430"/>
      <c r="E184" s="430"/>
      <c r="F184" s="430"/>
      <c r="G184" s="431"/>
    </row>
    <row r="185" spans="3:7" ht="19.5" customHeight="1">
      <c r="C185" s="430"/>
      <c r="D185" s="430"/>
      <c r="E185" s="430"/>
      <c r="F185" s="430"/>
      <c r="G185" s="431"/>
    </row>
    <row r="186" spans="3:7" ht="19.5" customHeight="1">
      <c r="C186" s="430"/>
      <c r="D186" s="430"/>
      <c r="E186" s="430"/>
      <c r="F186" s="430"/>
      <c r="G186" s="431"/>
    </row>
    <row r="187" spans="3:7" ht="19.5" customHeight="1">
      <c r="C187" s="430"/>
      <c r="D187" s="430"/>
      <c r="E187" s="430"/>
      <c r="F187" s="430"/>
      <c r="G187" s="431"/>
    </row>
    <row r="188" spans="3:7" ht="19.5" customHeight="1">
      <c r="C188" s="430"/>
      <c r="D188" s="430"/>
      <c r="E188" s="430"/>
      <c r="F188" s="430"/>
      <c r="G188" s="431"/>
    </row>
    <row r="189" spans="3:7" ht="19.5" customHeight="1">
      <c r="C189" s="430"/>
      <c r="D189" s="430"/>
      <c r="E189" s="430"/>
      <c r="F189" s="430"/>
      <c r="G189" s="431"/>
    </row>
    <row r="190" spans="3:7" ht="19.5" customHeight="1">
      <c r="C190" s="430"/>
      <c r="D190" s="430"/>
      <c r="E190" s="430"/>
      <c r="F190" s="430"/>
      <c r="G190" s="431"/>
    </row>
    <row r="191" spans="3:7" ht="19.5" customHeight="1">
      <c r="C191" s="430"/>
      <c r="D191" s="430"/>
      <c r="E191" s="430"/>
      <c r="F191" s="430"/>
      <c r="G191" s="431"/>
    </row>
    <row r="192" spans="3:7" ht="19.5" customHeight="1">
      <c r="C192" s="430"/>
      <c r="D192" s="430"/>
      <c r="E192" s="430"/>
      <c r="F192" s="430"/>
      <c r="G192" s="431"/>
    </row>
    <row r="193" spans="3:7" ht="19.5" customHeight="1">
      <c r="C193" s="430"/>
      <c r="D193" s="430"/>
      <c r="E193" s="430"/>
      <c r="F193" s="430"/>
      <c r="G193" s="431"/>
    </row>
    <row r="194" spans="3:7" ht="19.5" customHeight="1">
      <c r="C194" s="430"/>
      <c r="D194" s="430"/>
      <c r="E194" s="430"/>
      <c r="F194" s="430"/>
      <c r="G194" s="431"/>
    </row>
    <row r="195" spans="3:7" ht="19.5" customHeight="1">
      <c r="C195" s="430"/>
      <c r="D195" s="430"/>
      <c r="E195" s="430"/>
      <c r="F195" s="430"/>
      <c r="G195" s="431"/>
    </row>
    <row r="196" spans="3:7" ht="19.5" customHeight="1">
      <c r="C196" s="430"/>
      <c r="D196" s="430"/>
      <c r="E196" s="430"/>
      <c r="F196" s="430"/>
      <c r="G196" s="431"/>
    </row>
    <row r="197" spans="3:7" ht="19.5" customHeight="1">
      <c r="C197" s="430"/>
      <c r="D197" s="430"/>
      <c r="E197" s="430"/>
      <c r="F197" s="430"/>
      <c r="G197" s="431"/>
    </row>
    <row r="198" spans="3:7" ht="19.5" customHeight="1">
      <c r="C198" s="430"/>
      <c r="D198" s="430"/>
      <c r="E198" s="430"/>
      <c r="F198" s="430"/>
      <c r="G198" s="431"/>
    </row>
    <row r="199" spans="3:7" ht="19.5" customHeight="1">
      <c r="C199" s="430"/>
      <c r="D199" s="430"/>
      <c r="E199" s="430"/>
      <c r="F199" s="430"/>
      <c r="G199" s="431"/>
    </row>
    <row r="200" spans="3:7" ht="19.5" customHeight="1">
      <c r="C200" s="430"/>
      <c r="D200" s="430"/>
      <c r="E200" s="430"/>
      <c r="F200" s="430"/>
      <c r="G200" s="431"/>
    </row>
    <row r="201" spans="3:7" ht="19.5" customHeight="1">
      <c r="C201" s="430"/>
      <c r="D201" s="430"/>
      <c r="E201" s="430"/>
      <c r="F201" s="430"/>
      <c r="G201" s="431"/>
    </row>
    <row r="202" spans="3:7" ht="19.5" customHeight="1">
      <c r="C202" s="430"/>
      <c r="D202" s="430"/>
      <c r="E202" s="430"/>
      <c r="F202" s="430"/>
      <c r="G202" s="431"/>
    </row>
    <row r="203" spans="3:7" ht="19.5" customHeight="1">
      <c r="C203" s="430"/>
      <c r="D203" s="430"/>
      <c r="E203" s="430"/>
      <c r="F203" s="430"/>
      <c r="G203" s="431"/>
    </row>
    <row r="204" spans="3:7" ht="19.5" customHeight="1">
      <c r="C204" s="430"/>
      <c r="D204" s="430"/>
      <c r="E204" s="430"/>
      <c r="F204" s="430"/>
      <c r="G204" s="431"/>
    </row>
    <row r="205" spans="3:7" ht="19.5" customHeight="1">
      <c r="C205" s="430"/>
      <c r="D205" s="430"/>
      <c r="E205" s="430"/>
      <c r="F205" s="430"/>
      <c r="G205" s="431"/>
    </row>
    <row r="206" spans="3:7" ht="19.5" customHeight="1">
      <c r="C206" s="430"/>
      <c r="D206" s="430"/>
      <c r="E206" s="430"/>
      <c r="F206" s="430"/>
      <c r="G206" s="431"/>
    </row>
    <row r="207" spans="3:7" ht="19.5" customHeight="1">
      <c r="C207" s="430"/>
      <c r="D207" s="430"/>
      <c r="E207" s="430"/>
      <c r="F207" s="430"/>
      <c r="G207" s="431"/>
    </row>
    <row r="208" spans="3:7" ht="19.5" customHeight="1">
      <c r="C208" s="430"/>
      <c r="D208" s="430"/>
      <c r="E208" s="430"/>
      <c r="F208" s="430"/>
      <c r="G208" s="431"/>
    </row>
    <row r="209" spans="3:7" ht="19.5" customHeight="1">
      <c r="C209" s="430"/>
      <c r="D209" s="430"/>
      <c r="E209" s="430"/>
      <c r="F209" s="430"/>
      <c r="G209" s="431"/>
    </row>
    <row r="210" spans="3:7" ht="19.5" customHeight="1">
      <c r="C210" s="430"/>
      <c r="D210" s="430"/>
      <c r="E210" s="430"/>
      <c r="F210" s="430"/>
      <c r="G210" s="431"/>
    </row>
    <row r="211" spans="3:7" ht="19.5" customHeight="1">
      <c r="C211" s="430"/>
      <c r="D211" s="430"/>
      <c r="E211" s="430"/>
      <c r="F211" s="430"/>
      <c r="G211" s="431"/>
    </row>
    <row r="212" spans="3:7" ht="19.5" customHeight="1">
      <c r="C212" s="430"/>
      <c r="D212" s="430"/>
      <c r="E212" s="430"/>
      <c r="F212" s="430"/>
      <c r="G212" s="431"/>
    </row>
    <row r="213" spans="3:7" ht="19.5" customHeight="1">
      <c r="C213" s="430"/>
      <c r="D213" s="430"/>
      <c r="E213" s="430"/>
      <c r="F213" s="430"/>
      <c r="G213" s="431"/>
    </row>
    <row r="214" spans="3:7" ht="19.5" customHeight="1">
      <c r="C214" s="430"/>
      <c r="D214" s="430"/>
      <c r="E214" s="430"/>
      <c r="F214" s="430"/>
      <c r="G214" s="431"/>
    </row>
    <row r="215" spans="3:7" ht="19.5" customHeight="1">
      <c r="C215" s="430"/>
      <c r="D215" s="430"/>
      <c r="E215" s="430"/>
      <c r="F215" s="430"/>
      <c r="G215" s="431"/>
    </row>
    <row r="216" spans="3:7" ht="19.5" customHeight="1">
      <c r="C216" s="430"/>
      <c r="D216" s="430"/>
      <c r="E216" s="430"/>
      <c r="F216" s="430"/>
      <c r="G216" s="431"/>
    </row>
    <row r="217" spans="3:7" ht="19.5" customHeight="1">
      <c r="C217" s="430"/>
      <c r="D217" s="430"/>
      <c r="E217" s="430"/>
      <c r="F217" s="430"/>
      <c r="G217" s="431"/>
    </row>
    <row r="218" spans="3:7" ht="19.5" customHeight="1">
      <c r="C218" s="430"/>
      <c r="D218" s="430"/>
      <c r="E218" s="430"/>
      <c r="F218" s="430"/>
      <c r="G218" s="431"/>
    </row>
    <row r="219" spans="3:7" ht="19.5" customHeight="1">
      <c r="C219" s="430"/>
      <c r="D219" s="430"/>
      <c r="E219" s="430"/>
      <c r="F219" s="430"/>
      <c r="G219" s="431"/>
    </row>
    <row r="220" spans="3:7" ht="19.5" customHeight="1">
      <c r="C220" s="430"/>
      <c r="D220" s="430"/>
      <c r="E220" s="430"/>
      <c r="F220" s="430"/>
      <c r="G220" s="431"/>
    </row>
    <row r="221" spans="3:7" ht="19.5" customHeight="1">
      <c r="C221" s="430"/>
      <c r="D221" s="430"/>
      <c r="E221" s="430"/>
      <c r="F221" s="430"/>
      <c r="G221" s="431"/>
    </row>
    <row r="222" spans="3:7" ht="19.5" customHeight="1">
      <c r="C222" s="430"/>
      <c r="D222" s="430"/>
      <c r="E222" s="430"/>
      <c r="F222" s="430"/>
      <c r="G222" s="431"/>
    </row>
    <row r="223" spans="3:7" ht="19.5" customHeight="1">
      <c r="C223" s="430"/>
      <c r="D223" s="430"/>
      <c r="E223" s="430"/>
      <c r="F223" s="430"/>
      <c r="G223" s="431"/>
    </row>
    <row r="224" spans="3:7" ht="19.5" customHeight="1">
      <c r="C224" s="430"/>
      <c r="D224" s="430"/>
      <c r="E224" s="430"/>
      <c r="F224" s="430"/>
      <c r="G224" s="431"/>
    </row>
    <row r="225" spans="3:7" ht="19.5" customHeight="1">
      <c r="C225" s="430"/>
      <c r="D225" s="430"/>
      <c r="E225" s="430"/>
      <c r="F225" s="430"/>
      <c r="G225" s="431"/>
    </row>
    <row r="226" spans="3:7" ht="19.5" customHeight="1">
      <c r="C226" s="430"/>
      <c r="D226" s="430"/>
      <c r="E226" s="430"/>
      <c r="F226" s="430"/>
      <c r="G226" s="431"/>
    </row>
    <row r="227" spans="3:7" ht="19.5" customHeight="1">
      <c r="C227" s="430"/>
      <c r="D227" s="430"/>
      <c r="E227" s="430"/>
      <c r="F227" s="430"/>
      <c r="G227" s="431"/>
    </row>
    <row r="228" spans="3:7" ht="19.5" customHeight="1">
      <c r="C228" s="430"/>
      <c r="D228" s="430"/>
      <c r="E228" s="430"/>
      <c r="F228" s="430"/>
      <c r="G228" s="431"/>
    </row>
    <row r="229" spans="3:7" ht="19.5" customHeight="1">
      <c r="C229" s="430"/>
      <c r="D229" s="430"/>
      <c r="E229" s="430"/>
      <c r="F229" s="430"/>
      <c r="G229" s="431"/>
    </row>
    <row r="230" spans="3:7" ht="19.5" customHeight="1">
      <c r="C230" s="430"/>
      <c r="D230" s="430"/>
      <c r="E230" s="430"/>
      <c r="F230" s="430"/>
      <c r="G230" s="431"/>
    </row>
    <row r="231" spans="3:7" ht="19.5" customHeight="1">
      <c r="C231" s="430"/>
      <c r="D231" s="430"/>
      <c r="E231" s="430"/>
      <c r="F231" s="430"/>
      <c r="G231" s="431"/>
    </row>
    <row r="232" spans="3:7" ht="19.5" customHeight="1">
      <c r="C232" s="430"/>
      <c r="D232" s="430"/>
      <c r="E232" s="430"/>
      <c r="F232" s="430"/>
      <c r="G232" s="431"/>
    </row>
    <row r="233" spans="3:7" ht="19.5" customHeight="1">
      <c r="C233" s="430"/>
      <c r="D233" s="430"/>
      <c r="E233" s="430"/>
      <c r="F233" s="430"/>
      <c r="G233" s="431"/>
    </row>
    <row r="234" spans="3:7" ht="19.5" customHeight="1">
      <c r="C234" s="430"/>
      <c r="D234" s="430"/>
      <c r="E234" s="430"/>
      <c r="F234" s="430"/>
      <c r="G234" s="431"/>
    </row>
    <row r="235" spans="3:7" ht="19.5" customHeight="1">
      <c r="C235" s="430"/>
      <c r="D235" s="430"/>
      <c r="E235" s="430"/>
      <c r="F235" s="430"/>
      <c r="G235" s="431"/>
    </row>
    <row r="236" spans="3:7" ht="19.5" customHeight="1">
      <c r="C236" s="430"/>
      <c r="D236" s="430"/>
      <c r="E236" s="430"/>
      <c r="F236" s="430"/>
      <c r="G236" s="431"/>
    </row>
    <row r="237" spans="3:7" ht="19.5" customHeight="1">
      <c r="C237" s="430"/>
      <c r="D237" s="430"/>
      <c r="E237" s="430"/>
      <c r="F237" s="430"/>
      <c r="G237" s="431"/>
    </row>
    <row r="238" spans="3:7" ht="19.5" customHeight="1">
      <c r="C238" s="430"/>
      <c r="D238" s="430"/>
      <c r="E238" s="430"/>
      <c r="F238" s="430"/>
      <c r="G238" s="431"/>
    </row>
    <row r="239" spans="3:7" ht="19.5" customHeight="1">
      <c r="C239" s="430"/>
      <c r="D239" s="430"/>
      <c r="E239" s="430"/>
      <c r="F239" s="430"/>
      <c r="G239" s="431"/>
    </row>
    <row r="240" spans="3:7" ht="19.5" customHeight="1">
      <c r="C240" s="430"/>
      <c r="D240" s="430"/>
      <c r="E240" s="430"/>
      <c r="F240" s="430"/>
      <c r="G240" s="431"/>
    </row>
    <row r="241" spans="3:7" ht="19.5" customHeight="1">
      <c r="C241" s="430"/>
      <c r="D241" s="430"/>
      <c r="E241" s="430"/>
      <c r="F241" s="430"/>
      <c r="G241" s="431"/>
    </row>
    <row r="242" spans="3:7" ht="19.5" customHeight="1">
      <c r="C242" s="430"/>
      <c r="D242" s="430"/>
      <c r="E242" s="430"/>
      <c r="F242" s="430"/>
      <c r="G242" s="431"/>
    </row>
    <row r="243" spans="3:7" ht="19.5" customHeight="1">
      <c r="C243" s="430"/>
      <c r="D243" s="430"/>
      <c r="E243" s="430"/>
      <c r="F243" s="430"/>
      <c r="G243" s="431"/>
    </row>
    <row r="244" spans="3:7" ht="19.5" customHeight="1">
      <c r="C244" s="430"/>
      <c r="D244" s="430"/>
      <c r="E244" s="430"/>
      <c r="F244" s="430"/>
      <c r="G244" s="431"/>
    </row>
    <row r="245" spans="3:7" ht="19.5" customHeight="1">
      <c r="C245" s="430"/>
      <c r="D245" s="430"/>
      <c r="E245" s="430"/>
      <c r="F245" s="430"/>
      <c r="G245" s="431"/>
    </row>
    <row r="246" spans="3:7" ht="19.5" customHeight="1">
      <c r="C246" s="430"/>
      <c r="D246" s="430"/>
      <c r="E246" s="430"/>
      <c r="F246" s="430"/>
      <c r="G246" s="431"/>
    </row>
    <row r="247" spans="3:7" ht="19.5" customHeight="1">
      <c r="C247" s="430"/>
      <c r="D247" s="430"/>
      <c r="E247" s="430"/>
      <c r="F247" s="430"/>
      <c r="G247" s="431"/>
    </row>
    <row r="248" spans="3:7" ht="19.5" customHeight="1">
      <c r="C248" s="430"/>
      <c r="D248" s="430"/>
      <c r="E248" s="430"/>
      <c r="F248" s="430"/>
      <c r="G248" s="431"/>
    </row>
    <row r="249" spans="3:7" ht="19.5" customHeight="1">
      <c r="C249" s="430"/>
      <c r="D249" s="430"/>
      <c r="E249" s="430"/>
      <c r="F249" s="430"/>
      <c r="G249" s="431"/>
    </row>
    <row r="250" spans="3:7" ht="19.5" customHeight="1">
      <c r="C250" s="430"/>
      <c r="D250" s="430"/>
      <c r="E250" s="430"/>
      <c r="F250" s="430"/>
      <c r="G250" s="431"/>
    </row>
    <row r="251" spans="3:7" ht="19.5" customHeight="1">
      <c r="C251" s="430"/>
      <c r="D251" s="430"/>
      <c r="E251" s="430"/>
      <c r="F251" s="430"/>
      <c r="G251" s="431"/>
    </row>
    <row r="252" spans="3:7" ht="19.5" customHeight="1">
      <c r="C252" s="430"/>
      <c r="D252" s="430"/>
      <c r="E252" s="430"/>
      <c r="F252" s="430"/>
      <c r="G252" s="431"/>
    </row>
    <row r="253" spans="3:7" ht="19.5" customHeight="1">
      <c r="C253" s="430"/>
      <c r="D253" s="430"/>
      <c r="E253" s="430"/>
      <c r="F253" s="430"/>
      <c r="G253" s="431"/>
    </row>
    <row r="254" spans="3:7" ht="19.5" customHeight="1">
      <c r="C254" s="430"/>
      <c r="D254" s="430"/>
      <c r="E254" s="430"/>
      <c r="F254" s="430"/>
      <c r="G254" s="431"/>
    </row>
    <row r="255" spans="3:7" ht="19.5" customHeight="1">
      <c r="C255" s="430"/>
      <c r="D255" s="430"/>
      <c r="E255" s="430"/>
      <c r="F255" s="430"/>
      <c r="G255" s="431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/>
  <pageMargins left="0.7874015748031497" right="0.7480314960629921" top="0" bottom="0" header="0" footer="0"/>
  <pageSetup fitToHeight="2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O547"/>
  <sheetViews>
    <sheetView showGridLines="0" zoomScalePageLayoutView="0" workbookViewId="0" topLeftCell="A1">
      <selection activeCell="A46" sqref="A46:IV46"/>
    </sheetView>
  </sheetViews>
  <sheetFormatPr defaultColWidth="10.7109375" defaultRowHeight="12.75"/>
  <cols>
    <col min="1" max="1" width="6.421875" style="476" customWidth="1"/>
    <col min="2" max="2" width="53.140625" style="476" bestFit="1" customWidth="1"/>
    <col min="3" max="3" width="17.421875" style="476" customWidth="1"/>
    <col min="4" max="4" width="19.8515625" style="476" customWidth="1"/>
    <col min="5" max="5" width="17.8515625" style="477" customWidth="1"/>
    <col min="6" max="6" width="1.7109375" style="478" customWidth="1"/>
    <col min="7" max="13" width="0" style="476" hidden="1" customWidth="1"/>
    <col min="14" max="15" width="12.421875" style="476" hidden="1" customWidth="1"/>
    <col min="16" max="16384" width="10.7109375" style="476" customWidth="1"/>
  </cols>
  <sheetData>
    <row r="2" spans="2:6" s="448" customFormat="1" ht="49.5" customHeight="1">
      <c r="B2" s="1098" t="s">
        <v>131</v>
      </c>
      <c r="C2" s="1098"/>
      <c r="D2" s="1098"/>
      <c r="E2" s="384">
        <f>CPYG!E2</f>
        <v>2017</v>
      </c>
      <c r="F2" s="385"/>
    </row>
    <row r="3" spans="2:6" s="448" customFormat="1" ht="37.5" customHeight="1">
      <c r="B3" s="1099" t="str">
        <f>CPYG!B3</f>
        <v>ENTIDAD: SPET</v>
      </c>
      <c r="C3" s="1100"/>
      <c r="D3" s="1101"/>
      <c r="E3" s="389" t="s">
        <v>132</v>
      </c>
      <c r="F3" s="390"/>
    </row>
    <row r="4" spans="2:6" s="448" customFormat="1" ht="24.75" customHeight="1">
      <c r="B4" s="1102" t="s">
        <v>216</v>
      </c>
      <c r="C4" s="1102"/>
      <c r="D4" s="1102"/>
      <c r="E4" s="1102"/>
      <c r="F4" s="449"/>
    </row>
    <row r="5" spans="2:15" s="448" customFormat="1" ht="40.5" customHeight="1">
      <c r="B5" s="450" t="s">
        <v>132</v>
      </c>
      <c r="C5" s="451" t="s">
        <v>497</v>
      </c>
      <c r="D5" s="452" t="s">
        <v>503</v>
      </c>
      <c r="E5" s="452" t="s">
        <v>504</v>
      </c>
      <c r="F5" s="453"/>
      <c r="N5" s="971" t="s">
        <v>941</v>
      </c>
      <c r="O5" s="971" t="s">
        <v>942</v>
      </c>
    </row>
    <row r="6" spans="2:15" s="448" customFormat="1" ht="19.5" customHeight="1">
      <c r="B6" s="454" t="s">
        <v>274</v>
      </c>
      <c r="C6" s="527">
        <f>C7+C12+C16+C19+C20+C21+C22</f>
        <v>4222362.7</v>
      </c>
      <c r="D6" s="527">
        <f>D7+D12+D16+D19+D20+D21+D22</f>
        <v>962844</v>
      </c>
      <c r="E6" s="527">
        <f>E7+E12+E16+E19+E20+E21+E22</f>
        <v>885104.23</v>
      </c>
      <c r="F6" s="455"/>
      <c r="N6" s="458">
        <f>+D6-C6</f>
        <v>-3259518.7</v>
      </c>
      <c r="O6" s="458">
        <f>+E6-D6</f>
        <v>-77739.77000000002</v>
      </c>
    </row>
    <row r="7" spans="2:15" s="448" customFormat="1" ht="19.5" customHeight="1">
      <c r="B7" s="454" t="s">
        <v>162</v>
      </c>
      <c r="C7" s="527">
        <f>SUM(C8:C11)</f>
        <v>57217.270000000004</v>
      </c>
      <c r="D7" s="527">
        <f>SUM(D8:D11)</f>
        <v>38898.6</v>
      </c>
      <c r="E7" s="527">
        <f>SUM(E8:E11)</f>
        <v>15694.970000000001</v>
      </c>
      <c r="F7" s="456"/>
      <c r="N7" s="458">
        <f>+D7-C7</f>
        <v>-18318.670000000006</v>
      </c>
      <c r="O7" s="458">
        <f>+E7-D7</f>
        <v>-23203.629999999997</v>
      </c>
    </row>
    <row r="8" spans="2:14" s="448" customFormat="1" ht="19.5" customHeight="1">
      <c r="B8" s="457" t="s">
        <v>277</v>
      </c>
      <c r="C8" s="569"/>
      <c r="D8" s="569"/>
      <c r="E8" s="569"/>
      <c r="F8" s="456"/>
      <c r="N8" s="458"/>
    </row>
    <row r="9" spans="2:15" s="448" customFormat="1" ht="19.5" customHeight="1">
      <c r="B9" s="457" t="s">
        <v>276</v>
      </c>
      <c r="C9" s="569">
        <v>28505.83</v>
      </c>
      <c r="D9" s="569">
        <v>15859.14</v>
      </c>
      <c r="E9" s="569">
        <v>6234.78</v>
      </c>
      <c r="F9" s="456"/>
      <c r="N9" s="458"/>
      <c r="O9" s="458"/>
    </row>
    <row r="10" spans="2:6" s="448" customFormat="1" ht="19.5" customHeight="1">
      <c r="B10" s="457" t="s">
        <v>275</v>
      </c>
      <c r="C10" s="569"/>
      <c r="D10" s="569"/>
      <c r="E10" s="569"/>
      <c r="F10" s="456"/>
    </row>
    <row r="11" spans="2:15" s="448" customFormat="1" ht="19.5" customHeight="1">
      <c r="B11" s="457" t="s">
        <v>581</v>
      </c>
      <c r="C11" s="569">
        <v>28711.44</v>
      </c>
      <c r="D11" s="569">
        <v>23039.46</v>
      </c>
      <c r="E11" s="569">
        <v>9460.19</v>
      </c>
      <c r="F11" s="456"/>
      <c r="N11" s="458"/>
      <c r="O11" s="458"/>
    </row>
    <row r="12" spans="2:15" s="448" customFormat="1" ht="19.5" customHeight="1">
      <c r="B12" s="454" t="s">
        <v>163</v>
      </c>
      <c r="C12" s="527">
        <f>SUM(C13:C15)</f>
        <v>842920.17</v>
      </c>
      <c r="D12" s="527">
        <f>SUM(D13:D15)</f>
        <v>809720.34</v>
      </c>
      <c r="E12" s="527">
        <f>SUM(E13:E15)</f>
        <v>755184.2</v>
      </c>
      <c r="F12" s="456"/>
      <c r="N12" s="458">
        <f>+D12-C12</f>
        <v>-33199.830000000075</v>
      </c>
      <c r="O12" s="458">
        <f>+E12-D12</f>
        <v>-54536.140000000014</v>
      </c>
    </row>
    <row r="13" spans="2:6" s="448" customFormat="1" ht="19.5" customHeight="1">
      <c r="B13" s="457" t="s">
        <v>378</v>
      </c>
      <c r="C13" s="569"/>
      <c r="D13" s="569"/>
      <c r="E13" s="569"/>
      <c r="F13" s="456"/>
    </row>
    <row r="14" spans="2:6" s="448" customFormat="1" ht="19.5" customHeight="1">
      <c r="B14" s="457" t="s">
        <v>377</v>
      </c>
      <c r="C14" s="569"/>
      <c r="D14" s="569"/>
      <c r="E14" s="569"/>
      <c r="F14" s="456"/>
    </row>
    <row r="15" spans="2:15" s="448" customFormat="1" ht="19.5" customHeight="1">
      <c r="B15" s="457" t="s">
        <v>376</v>
      </c>
      <c r="C15" s="569">
        <v>842920.17</v>
      </c>
      <c r="D15" s="569">
        <v>809720.34</v>
      </c>
      <c r="E15" s="569">
        <v>755184.2</v>
      </c>
      <c r="F15" s="456"/>
      <c r="N15" s="458">
        <f>+D15-C15</f>
        <v>-33199.830000000075</v>
      </c>
      <c r="O15" s="458">
        <f>+E15-D15</f>
        <v>-54536.140000000014</v>
      </c>
    </row>
    <row r="16" spans="2:6" s="448" customFormat="1" ht="19.5" customHeight="1">
      <c r="B16" s="454" t="s">
        <v>164</v>
      </c>
      <c r="C16" s="527">
        <f>SUM(C17:C18)</f>
        <v>0</v>
      </c>
      <c r="D16" s="527">
        <f>SUM(D17:D18)</f>
        <v>0</v>
      </c>
      <c r="E16" s="527">
        <f>SUM(E17:E18)</f>
        <v>0</v>
      </c>
      <c r="F16" s="456"/>
    </row>
    <row r="17" spans="2:6" s="448" customFormat="1" ht="19.5" customHeight="1">
      <c r="B17" s="457" t="s">
        <v>165</v>
      </c>
      <c r="C17" s="569"/>
      <c r="D17" s="569"/>
      <c r="E17" s="569"/>
      <c r="F17" s="456"/>
    </row>
    <row r="18" spans="2:6" s="448" customFormat="1" ht="19.5" customHeight="1">
      <c r="B18" s="457" t="s">
        <v>72</v>
      </c>
      <c r="C18" s="569"/>
      <c r="D18" s="569"/>
      <c r="E18" s="569"/>
      <c r="F18" s="456"/>
    </row>
    <row r="19" spans="2:15" s="448" customFormat="1" ht="19.5" customHeight="1">
      <c r="B19" s="454" t="s">
        <v>166</v>
      </c>
      <c r="C19" s="568">
        <v>110000</v>
      </c>
      <c r="D19" s="568">
        <v>110000</v>
      </c>
      <c r="E19" s="568">
        <v>110000</v>
      </c>
      <c r="F19" s="456"/>
      <c r="N19" s="458">
        <f>+D19-C19</f>
        <v>0</v>
      </c>
      <c r="O19" s="458">
        <f>+E19-D19</f>
        <v>0</v>
      </c>
    </row>
    <row r="20" spans="1:6" s="448" customFormat="1" ht="19.5" customHeight="1">
      <c r="A20" s="459"/>
      <c r="B20" s="454" t="s">
        <v>167</v>
      </c>
      <c r="C20" s="568">
        <v>3212225.26</v>
      </c>
      <c r="D20" s="568">
        <f>1500+2725.06</f>
        <v>4225.0599999999995</v>
      </c>
      <c r="E20" s="568">
        <f>1500+2725.06</f>
        <v>4225.0599999999995</v>
      </c>
      <c r="F20" s="456"/>
    </row>
    <row r="21" spans="2:13" s="448" customFormat="1" ht="19.5" customHeight="1">
      <c r="B21" s="454" t="s">
        <v>73</v>
      </c>
      <c r="C21" s="568"/>
      <c r="D21" s="568"/>
      <c r="E21" s="568"/>
      <c r="G21" s="728" t="s">
        <v>265</v>
      </c>
      <c r="H21" s="729"/>
      <c r="I21" s="729"/>
      <c r="J21" s="729"/>
      <c r="K21" s="729"/>
      <c r="L21" s="729"/>
      <c r="M21" s="729"/>
    </row>
    <row r="22" spans="2:13" s="448" customFormat="1" ht="19.5" customHeight="1">
      <c r="B22" s="454" t="s">
        <v>379</v>
      </c>
      <c r="C22" s="568"/>
      <c r="D22" s="568"/>
      <c r="E22" s="568"/>
      <c r="G22" s="728" t="s">
        <v>266</v>
      </c>
      <c r="H22" s="729"/>
      <c r="I22" s="729"/>
      <c r="J22" s="729"/>
      <c r="K22" s="729"/>
      <c r="L22" s="729"/>
      <c r="M22" s="729"/>
    </row>
    <row r="23" spans="2:15" s="448" customFormat="1" ht="19.5" customHeight="1">
      <c r="B23" s="454" t="s">
        <v>278</v>
      </c>
      <c r="C23" s="527">
        <f>C24+C30+C33+C37+C38+C39+C40</f>
        <v>7593058.7700000005</v>
      </c>
      <c r="D23" s="527">
        <f>D24+D30+D33+D37+D38+D39+D40</f>
        <v>5886823.670000001</v>
      </c>
      <c r="E23" s="527">
        <f>E24+E30+E33+E37+E38+E39+E40</f>
        <v>2243982.5700000003</v>
      </c>
      <c r="F23" s="455"/>
      <c r="N23" s="458">
        <f>+D23-C23</f>
        <v>-1706235.0999999996</v>
      </c>
      <c r="O23" s="458">
        <f>+E23-D23</f>
        <v>-3642841.1000000006</v>
      </c>
    </row>
    <row r="24" spans="2:6" s="448" customFormat="1" ht="23.25" customHeight="1">
      <c r="B24" s="454" t="s">
        <v>168</v>
      </c>
      <c r="C24" s="527">
        <f>C25+C28+C29</f>
        <v>0</v>
      </c>
      <c r="D24" s="527">
        <f>D25+D28+D29</f>
        <v>0</v>
      </c>
      <c r="E24" s="527">
        <f>E25+E28+E29</f>
        <v>0</v>
      </c>
      <c r="F24" s="456"/>
    </row>
    <row r="25" spans="2:6" s="448" customFormat="1" ht="23.25" customHeight="1">
      <c r="B25" s="457" t="s">
        <v>382</v>
      </c>
      <c r="C25" s="570">
        <f>SUM(C26:C27)</f>
        <v>0</v>
      </c>
      <c r="D25" s="570">
        <f>SUM(D26:D27)</f>
        <v>0</v>
      </c>
      <c r="E25" s="570">
        <f>SUM(E26:E27)</f>
        <v>0</v>
      </c>
      <c r="F25" s="456"/>
    </row>
    <row r="26" spans="2:6" s="448" customFormat="1" ht="23.25" customHeight="1">
      <c r="B26" s="457" t="s">
        <v>383</v>
      </c>
      <c r="C26" s="569"/>
      <c r="D26" s="569"/>
      <c r="E26" s="569"/>
      <c r="F26" s="456"/>
    </row>
    <row r="27" spans="2:6" s="448" customFormat="1" ht="23.25" customHeight="1">
      <c r="B27" s="457" t="s">
        <v>384</v>
      </c>
      <c r="C27" s="569"/>
      <c r="D27" s="569"/>
      <c r="E27" s="569"/>
      <c r="F27" s="456"/>
    </row>
    <row r="28" spans="2:6" s="448" customFormat="1" ht="23.25" customHeight="1">
      <c r="B28" s="457" t="s">
        <v>386</v>
      </c>
      <c r="C28" s="569"/>
      <c r="D28" s="569"/>
      <c r="E28" s="569"/>
      <c r="F28" s="456"/>
    </row>
    <row r="29" spans="2:6" s="448" customFormat="1" ht="23.25" customHeight="1">
      <c r="B29" s="457" t="s">
        <v>385</v>
      </c>
      <c r="C29" s="569"/>
      <c r="D29" s="569"/>
      <c r="E29" s="569"/>
      <c r="F29" s="456"/>
    </row>
    <row r="30" spans="2:15" s="448" customFormat="1" ht="19.5" customHeight="1">
      <c r="B30" s="454" t="s">
        <v>136</v>
      </c>
      <c r="C30" s="527">
        <f>SUM(C31:C32)</f>
        <v>51162.83</v>
      </c>
      <c r="D30" s="527">
        <f>SUM(D31:D32)</f>
        <v>56669.03</v>
      </c>
      <c r="E30" s="527">
        <f>SUM(E31:E32)</f>
        <v>56669.03</v>
      </c>
      <c r="F30" s="456"/>
      <c r="N30" s="458">
        <f>+D30-C30</f>
        <v>5506.199999999997</v>
      </c>
      <c r="O30" s="458">
        <f>+E30-D30</f>
        <v>0</v>
      </c>
    </row>
    <row r="31" spans="2:15" s="448" customFormat="1" ht="19.5" customHeight="1">
      <c r="B31" s="457" t="s">
        <v>380</v>
      </c>
      <c r="C31" s="569">
        <v>51162.83</v>
      </c>
      <c r="D31" s="569">
        <v>56669.03</v>
      </c>
      <c r="E31" s="569">
        <v>56669.03</v>
      </c>
      <c r="F31" s="456"/>
      <c r="N31" s="458">
        <f>+D31-C31</f>
        <v>5506.199999999997</v>
      </c>
      <c r="O31" s="458">
        <f>+E31-D31</f>
        <v>0</v>
      </c>
    </row>
    <row r="32" spans="2:6" s="448" customFormat="1" ht="19.5" customHeight="1">
      <c r="B32" s="457" t="s">
        <v>381</v>
      </c>
      <c r="C32" s="569"/>
      <c r="D32" s="569"/>
      <c r="E32" s="569"/>
      <c r="F32" s="456"/>
    </row>
    <row r="33" spans="2:15" s="448" customFormat="1" ht="19.5" customHeight="1">
      <c r="B33" s="454" t="s">
        <v>169</v>
      </c>
      <c r="C33" s="527">
        <f>SUM(C34:C36)</f>
        <v>6752091.61</v>
      </c>
      <c r="D33" s="527">
        <f>SUM(D34:D36)</f>
        <v>5021454.15</v>
      </c>
      <c r="E33" s="527">
        <f>SUM(E34:E36)</f>
        <v>1222313.54</v>
      </c>
      <c r="F33" s="456"/>
      <c r="N33" s="458">
        <f>+D33-C33</f>
        <v>-1730637.46</v>
      </c>
      <c r="O33" s="458">
        <f>+E33-D33</f>
        <v>-3799140.6100000003</v>
      </c>
    </row>
    <row r="34" spans="2:15" s="448" customFormat="1" ht="19.5" customHeight="1">
      <c r="B34" s="457" t="s">
        <v>74</v>
      </c>
      <c r="C34" s="569">
        <v>1272760.95</v>
      </c>
      <c r="D34" s="569">
        <f>1817679.21-4225.06</f>
        <v>1813454.15</v>
      </c>
      <c r="E34" s="569">
        <f>1354313.54-132000</f>
        <v>1222313.54</v>
      </c>
      <c r="F34" s="456"/>
      <c r="N34" s="458">
        <f>+D34-C34</f>
        <v>540693.2</v>
      </c>
      <c r="O34" s="458">
        <f>+E34-D34</f>
        <v>-591140.6099999999</v>
      </c>
    </row>
    <row r="35" spans="2:6" s="448" customFormat="1" ht="19.5" customHeight="1">
      <c r="B35" s="457" t="s">
        <v>279</v>
      </c>
      <c r="C35" s="569"/>
      <c r="D35" s="569"/>
      <c r="E35" s="569"/>
      <c r="F35" s="456"/>
    </row>
    <row r="36" spans="2:15" s="448" customFormat="1" ht="19.5" customHeight="1">
      <c r="B36" s="457" t="s">
        <v>280</v>
      </c>
      <c r="C36" s="569">
        <v>5479330.66</v>
      </c>
      <c r="D36" s="569">
        <v>3208000</v>
      </c>
      <c r="E36" s="569">
        <v>0</v>
      </c>
      <c r="F36" s="456"/>
      <c r="N36" s="458">
        <f aca="true" t="shared" si="0" ref="N36:N41">+D36-C36</f>
        <v>-2271330.66</v>
      </c>
      <c r="O36" s="458">
        <f aca="true" t="shared" si="1" ref="O36:O41">+E36-D36</f>
        <v>-3208000</v>
      </c>
    </row>
    <row r="37" spans="2:15" s="448" customFormat="1" ht="19.5" customHeight="1">
      <c r="B37" s="454" t="s">
        <v>170</v>
      </c>
      <c r="C37" s="568"/>
      <c r="D37" s="568"/>
      <c r="E37" s="569"/>
      <c r="F37" s="456"/>
      <c r="N37" s="458">
        <f t="shared" si="0"/>
        <v>0</v>
      </c>
      <c r="O37" s="458">
        <f t="shared" si="1"/>
        <v>0</v>
      </c>
    </row>
    <row r="38" spans="2:15" s="448" customFormat="1" ht="19.5" customHeight="1">
      <c r="B38" s="454" t="s">
        <v>171</v>
      </c>
      <c r="C38" s="568">
        <v>0</v>
      </c>
      <c r="D38" s="568">
        <v>0</v>
      </c>
      <c r="E38" s="568">
        <v>0</v>
      </c>
      <c r="F38" s="456"/>
      <c r="N38" s="458">
        <f t="shared" si="0"/>
        <v>0</v>
      </c>
      <c r="O38" s="458">
        <f t="shared" si="1"/>
        <v>0</v>
      </c>
    </row>
    <row r="39" spans="2:15" s="448" customFormat="1" ht="19.5" customHeight="1">
      <c r="B39" s="454" t="s">
        <v>75</v>
      </c>
      <c r="C39" s="568">
        <v>242060.38</v>
      </c>
      <c r="D39" s="568">
        <v>225000</v>
      </c>
      <c r="E39" s="568">
        <v>250000</v>
      </c>
      <c r="F39" s="456"/>
      <c r="N39" s="458">
        <f t="shared" si="0"/>
        <v>-17060.380000000005</v>
      </c>
      <c r="O39" s="458">
        <f t="shared" si="1"/>
        <v>25000</v>
      </c>
    </row>
    <row r="40" spans="2:15" s="448" customFormat="1" ht="19.5" customHeight="1">
      <c r="B40" s="454" t="s">
        <v>76</v>
      </c>
      <c r="C40" s="527">
        <f>SUM(C41:C42)</f>
        <v>547743.95</v>
      </c>
      <c r="D40" s="527">
        <f>SUM(D41:D42)</f>
        <v>583700.49</v>
      </c>
      <c r="E40" s="527">
        <f>SUM(E41:E42)</f>
        <v>715000</v>
      </c>
      <c r="F40" s="456"/>
      <c r="N40" s="458">
        <f t="shared" si="0"/>
        <v>35956.54000000004</v>
      </c>
      <c r="O40" s="458">
        <f t="shared" si="1"/>
        <v>131299.51</v>
      </c>
    </row>
    <row r="41" spans="2:15" s="448" customFormat="1" ht="19.5" customHeight="1">
      <c r="B41" s="457" t="s">
        <v>77</v>
      </c>
      <c r="C41" s="569">
        <v>547743.95</v>
      </c>
      <c r="D41" s="569">
        <v>583700.49</v>
      </c>
      <c r="E41" s="569">
        <v>715000</v>
      </c>
      <c r="F41" s="456"/>
      <c r="N41" s="458">
        <f t="shared" si="0"/>
        <v>35956.54000000004</v>
      </c>
      <c r="O41" s="458">
        <f t="shared" si="1"/>
        <v>131299.51</v>
      </c>
    </row>
    <row r="42" spans="2:6" s="448" customFormat="1" ht="19.5" customHeight="1">
      <c r="B42" s="457" t="s">
        <v>95</v>
      </c>
      <c r="C42" s="569"/>
      <c r="D42" s="569"/>
      <c r="E42" s="569"/>
      <c r="F42" s="456"/>
    </row>
    <row r="43" spans="2:15" s="448" customFormat="1" ht="21.75" customHeight="1">
      <c r="B43" s="460" t="s">
        <v>128</v>
      </c>
      <c r="C43" s="527">
        <f>C23+C6</f>
        <v>11815421.47</v>
      </c>
      <c r="D43" s="527">
        <f>D23+D6</f>
        <v>6849667.670000001</v>
      </c>
      <c r="E43" s="527">
        <f>E23+E6</f>
        <v>3129086.8000000003</v>
      </c>
      <c r="F43" s="455"/>
      <c r="N43" s="458">
        <f>+D43-C43</f>
        <v>-4965753.8</v>
      </c>
      <c r="O43" s="458">
        <f>+E43-D43</f>
        <v>-3720580.8700000006</v>
      </c>
    </row>
    <row r="44" spans="2:6" s="448" customFormat="1" ht="40.5" customHeight="1">
      <c r="B44" s="461"/>
      <c r="C44" s="462"/>
      <c r="D44" s="462"/>
      <c r="E44" s="462"/>
      <c r="F44" s="455"/>
    </row>
    <row r="45" spans="2:6" s="448" customFormat="1" ht="12.75" hidden="1">
      <c r="B45" s="463" t="s">
        <v>96</v>
      </c>
      <c r="D45" s="458"/>
      <c r="E45" s="464"/>
      <c r="F45" s="465"/>
    </row>
    <row r="46" spans="2:6" s="448" customFormat="1" ht="12.75" hidden="1">
      <c r="B46" s="457" t="s">
        <v>742</v>
      </c>
      <c r="C46" s="466">
        <f>C43-PASIVO!C60</f>
        <v>0</v>
      </c>
      <c r="D46" s="466">
        <f>D43-PASIVO!D60</f>
        <v>0</v>
      </c>
      <c r="E46" s="466">
        <f>E43-PASIVO!E60</f>
        <v>0</v>
      </c>
      <c r="F46" s="467"/>
    </row>
    <row r="47" spans="2:6" s="448" customFormat="1" ht="12.75" hidden="1">
      <c r="B47" s="459"/>
      <c r="C47" s="467"/>
      <c r="D47" s="467"/>
      <c r="E47" s="467"/>
      <c r="F47" s="467"/>
    </row>
    <row r="48" spans="2:6" s="448" customFormat="1" ht="12.75" hidden="1">
      <c r="B48" s="459"/>
      <c r="C48" s="468"/>
      <c r="D48" s="468"/>
      <c r="E48" s="467"/>
      <c r="F48" s="467"/>
    </row>
    <row r="49" spans="2:6" s="448" customFormat="1" ht="12.75" hidden="1">
      <c r="B49" s="459" t="s">
        <v>90</v>
      </c>
      <c r="C49" s="469">
        <f>+C43-PASIVO!C60</f>
        <v>0</v>
      </c>
      <c r="D49" s="469">
        <f>+D43-PASIVO!D60</f>
        <v>0</v>
      </c>
      <c r="E49" s="469">
        <f>+E43-PASIVO!E60</f>
        <v>0</v>
      </c>
      <c r="F49" s="467"/>
    </row>
    <row r="50" spans="2:6" s="448" customFormat="1" ht="12.75" hidden="1">
      <c r="B50" s="459"/>
      <c r="C50" s="468"/>
      <c r="D50" s="468"/>
      <c r="E50" s="467"/>
      <c r="F50" s="467"/>
    </row>
    <row r="51" spans="2:6" s="448" customFormat="1" ht="12.75" hidden="1">
      <c r="B51" s="470" t="s">
        <v>89</v>
      </c>
      <c r="C51" s="466">
        <f>+C23-PASIVO!C43</f>
        <v>152496.03000000026</v>
      </c>
      <c r="D51" s="466">
        <f>+D23-PASIVO!D43</f>
        <v>170608.97000000067</v>
      </c>
      <c r="E51" s="466">
        <f>+E23-PASIVO!E43</f>
        <v>218755.91000000015</v>
      </c>
      <c r="F51" s="467"/>
    </row>
    <row r="52" spans="2:6" s="448" customFormat="1" ht="12.75" hidden="1">
      <c r="B52" s="471" t="s">
        <v>629</v>
      </c>
      <c r="C52" s="457"/>
      <c r="D52" s="466">
        <f>+D51-C51</f>
        <v>18112.94000000041</v>
      </c>
      <c r="E52" s="472">
        <f>+E51-D51</f>
        <v>48146.93999999948</v>
      </c>
      <c r="F52" s="467"/>
    </row>
    <row r="53" spans="3:6" s="448" customFormat="1" ht="12.75" hidden="1">
      <c r="C53" s="473"/>
      <c r="D53" s="473"/>
      <c r="E53" s="474"/>
      <c r="F53" s="474"/>
    </row>
    <row r="54" spans="3:6" s="448" customFormat="1" ht="12.75" hidden="1">
      <c r="C54" s="468"/>
      <c r="D54" s="468"/>
      <c r="E54" s="475"/>
      <c r="F54" s="475"/>
    </row>
    <row r="55" spans="3:6" s="448" customFormat="1" ht="12.75" hidden="1">
      <c r="C55" s="468"/>
      <c r="D55" s="468"/>
      <c r="E55" s="467"/>
      <c r="F55" s="467"/>
    </row>
    <row r="56" spans="3:6" s="448" customFormat="1" ht="12.75">
      <c r="C56" s="467"/>
      <c r="D56" s="467"/>
      <c r="E56" s="467"/>
      <c r="F56" s="467"/>
    </row>
    <row r="57" spans="3:6" s="448" customFormat="1" ht="12.75">
      <c r="C57" s="467"/>
      <c r="D57" s="467"/>
      <c r="E57" s="467"/>
      <c r="F57" s="467">
        <f>+F43-F56</f>
        <v>0</v>
      </c>
    </row>
    <row r="58" spans="3:6" s="448" customFormat="1" ht="12.75">
      <c r="C58" s="468"/>
      <c r="D58" s="468"/>
      <c r="E58" s="467"/>
      <c r="F58" s="467"/>
    </row>
    <row r="59" spans="3:6" s="448" customFormat="1" ht="12.75">
      <c r="C59" s="468"/>
      <c r="D59" s="468"/>
      <c r="E59" s="467"/>
      <c r="F59" s="467"/>
    </row>
    <row r="60" spans="3:6" s="448" customFormat="1" ht="12.75">
      <c r="C60" s="468"/>
      <c r="D60" s="468"/>
      <c r="E60" s="467"/>
      <c r="F60" s="467"/>
    </row>
    <row r="61" spans="3:6" s="448" customFormat="1" ht="12.75">
      <c r="C61" s="473"/>
      <c r="D61" s="473"/>
      <c r="E61" s="474"/>
      <c r="F61" s="474"/>
    </row>
    <row r="62" spans="3:6" s="448" customFormat="1" ht="12.75">
      <c r="C62" s="468"/>
      <c r="D62" s="468"/>
      <c r="E62" s="475"/>
      <c r="F62" s="475"/>
    </row>
    <row r="63" spans="3:6" s="448" customFormat="1" ht="12.75">
      <c r="C63" s="468"/>
      <c r="D63" s="468"/>
      <c r="E63" s="475"/>
      <c r="F63" s="475"/>
    </row>
    <row r="64" spans="3:6" s="448" customFormat="1" ht="12.75">
      <c r="C64" s="468"/>
      <c r="D64" s="468"/>
      <c r="E64" s="475"/>
      <c r="F64" s="475"/>
    </row>
    <row r="65" spans="5:6" s="448" customFormat="1" ht="12.75">
      <c r="E65" s="464"/>
      <c r="F65" s="465"/>
    </row>
    <row r="66" spans="5:6" s="448" customFormat="1" ht="12.75">
      <c r="E66" s="464"/>
      <c r="F66" s="465"/>
    </row>
    <row r="67" spans="5:6" s="448" customFormat="1" ht="12.75">
      <c r="E67" s="464"/>
      <c r="F67" s="465"/>
    </row>
    <row r="68" spans="5:6" s="448" customFormat="1" ht="12.75">
      <c r="E68" s="464"/>
      <c r="F68" s="465"/>
    </row>
    <row r="69" spans="5:6" s="448" customFormat="1" ht="12.75">
      <c r="E69" s="464"/>
      <c r="F69" s="465"/>
    </row>
    <row r="70" spans="5:6" s="448" customFormat="1" ht="12.75">
      <c r="E70" s="464"/>
      <c r="F70" s="465"/>
    </row>
    <row r="71" spans="5:6" s="448" customFormat="1" ht="12.75">
      <c r="E71" s="464"/>
      <c r="F71" s="465"/>
    </row>
    <row r="72" spans="5:6" s="448" customFormat="1" ht="12.75">
      <c r="E72" s="464"/>
      <c r="F72" s="465"/>
    </row>
    <row r="73" spans="5:6" s="448" customFormat="1" ht="12.75">
      <c r="E73" s="464"/>
      <c r="F73" s="465"/>
    </row>
    <row r="74" spans="5:6" s="448" customFormat="1" ht="12.75">
      <c r="E74" s="464"/>
      <c r="F74" s="465"/>
    </row>
    <row r="75" spans="5:6" s="448" customFormat="1" ht="12.75">
      <c r="E75" s="464"/>
      <c r="F75" s="465"/>
    </row>
    <row r="76" spans="5:6" s="448" customFormat="1" ht="12.75">
      <c r="E76" s="464"/>
      <c r="F76" s="465"/>
    </row>
    <row r="77" spans="5:6" s="448" customFormat="1" ht="12.75">
      <c r="E77" s="464"/>
      <c r="F77" s="465"/>
    </row>
    <row r="78" spans="5:6" s="448" customFormat="1" ht="12.75">
      <c r="E78" s="464"/>
      <c r="F78" s="465"/>
    </row>
    <row r="79" spans="5:6" s="448" customFormat="1" ht="12.75">
      <c r="E79" s="464"/>
      <c r="F79" s="465"/>
    </row>
    <row r="80" spans="5:6" s="448" customFormat="1" ht="12.75">
      <c r="E80" s="464"/>
      <c r="F80" s="465"/>
    </row>
    <row r="81" spans="5:6" s="448" customFormat="1" ht="12.75">
      <c r="E81" s="464"/>
      <c r="F81" s="465"/>
    </row>
    <row r="82" spans="5:6" s="448" customFormat="1" ht="12.75">
      <c r="E82" s="464"/>
      <c r="F82" s="465"/>
    </row>
    <row r="83" spans="5:6" s="448" customFormat="1" ht="12.75">
      <c r="E83" s="464"/>
      <c r="F83" s="465"/>
    </row>
    <row r="84" spans="5:6" s="448" customFormat="1" ht="12.75">
      <c r="E84" s="464"/>
      <c r="F84" s="465"/>
    </row>
    <row r="85" spans="5:6" s="448" customFormat="1" ht="12.75">
      <c r="E85" s="464"/>
      <c r="F85" s="465"/>
    </row>
    <row r="86" spans="5:6" s="448" customFormat="1" ht="12.75">
      <c r="E86" s="464"/>
      <c r="F86" s="465"/>
    </row>
    <row r="87" spans="5:6" s="448" customFormat="1" ht="12.75">
      <c r="E87" s="464"/>
      <c r="F87" s="465"/>
    </row>
    <row r="88" spans="5:6" s="448" customFormat="1" ht="12.75">
      <c r="E88" s="464"/>
      <c r="F88" s="465"/>
    </row>
    <row r="89" spans="5:6" s="448" customFormat="1" ht="12.75">
      <c r="E89" s="464"/>
      <c r="F89" s="465"/>
    </row>
    <row r="90" spans="5:6" s="448" customFormat="1" ht="12.75">
      <c r="E90" s="464"/>
      <c r="F90" s="465"/>
    </row>
    <row r="91" spans="5:6" s="448" customFormat="1" ht="12.75">
      <c r="E91" s="464"/>
      <c r="F91" s="465"/>
    </row>
    <row r="92" spans="5:6" s="448" customFormat="1" ht="12.75">
      <c r="E92" s="464"/>
      <c r="F92" s="465"/>
    </row>
    <row r="93" spans="5:6" s="448" customFormat="1" ht="12.75">
      <c r="E93" s="464"/>
      <c r="F93" s="465"/>
    </row>
    <row r="94" spans="5:6" s="448" customFormat="1" ht="12.75">
      <c r="E94" s="464"/>
      <c r="F94" s="465"/>
    </row>
    <row r="95" spans="5:6" s="448" customFormat="1" ht="12.75">
      <c r="E95" s="464"/>
      <c r="F95" s="465"/>
    </row>
    <row r="96" spans="5:6" s="448" customFormat="1" ht="12.75">
      <c r="E96" s="464"/>
      <c r="F96" s="465"/>
    </row>
    <row r="97" spans="5:6" s="448" customFormat="1" ht="12.75">
      <c r="E97" s="464"/>
      <c r="F97" s="465"/>
    </row>
    <row r="98" spans="5:6" s="448" customFormat="1" ht="12.75">
      <c r="E98" s="464"/>
      <c r="F98" s="465"/>
    </row>
    <row r="99" spans="5:6" s="448" customFormat="1" ht="12.75">
      <c r="E99" s="464"/>
      <c r="F99" s="465"/>
    </row>
    <row r="100" spans="5:6" s="448" customFormat="1" ht="12.75">
      <c r="E100" s="464"/>
      <c r="F100" s="465"/>
    </row>
    <row r="101" spans="5:6" s="448" customFormat="1" ht="12.75">
      <c r="E101" s="464"/>
      <c r="F101" s="465"/>
    </row>
    <row r="102" spans="5:6" s="448" customFormat="1" ht="12.75">
      <c r="E102" s="464"/>
      <c r="F102" s="465"/>
    </row>
    <row r="103" spans="5:6" s="448" customFormat="1" ht="12.75">
      <c r="E103" s="464"/>
      <c r="F103" s="465"/>
    </row>
    <row r="104" spans="5:6" s="448" customFormat="1" ht="12.75">
      <c r="E104" s="464"/>
      <c r="F104" s="465"/>
    </row>
    <row r="105" spans="5:6" s="448" customFormat="1" ht="12.75">
      <c r="E105" s="464"/>
      <c r="F105" s="465"/>
    </row>
    <row r="106" spans="5:6" s="448" customFormat="1" ht="12.75">
      <c r="E106" s="464"/>
      <c r="F106" s="465"/>
    </row>
    <row r="107" spans="5:6" s="448" customFormat="1" ht="12.75">
      <c r="E107" s="464"/>
      <c r="F107" s="465"/>
    </row>
    <row r="108" spans="5:6" s="448" customFormat="1" ht="12.75">
      <c r="E108" s="464"/>
      <c r="F108" s="465"/>
    </row>
    <row r="109" spans="5:6" s="448" customFormat="1" ht="12.75">
      <c r="E109" s="464"/>
      <c r="F109" s="465"/>
    </row>
    <row r="110" spans="5:6" s="448" customFormat="1" ht="12.75">
      <c r="E110" s="464"/>
      <c r="F110" s="465"/>
    </row>
    <row r="111" spans="5:6" s="448" customFormat="1" ht="12.75">
      <c r="E111" s="464"/>
      <c r="F111" s="465"/>
    </row>
    <row r="112" spans="5:6" s="448" customFormat="1" ht="12.75">
      <c r="E112" s="464"/>
      <c r="F112" s="465"/>
    </row>
    <row r="113" spans="5:6" s="448" customFormat="1" ht="12.75">
      <c r="E113" s="464"/>
      <c r="F113" s="465"/>
    </row>
    <row r="114" spans="5:6" s="448" customFormat="1" ht="12.75">
      <c r="E114" s="464"/>
      <c r="F114" s="465"/>
    </row>
    <row r="115" spans="5:6" s="448" customFormat="1" ht="12.75">
      <c r="E115" s="464"/>
      <c r="F115" s="465"/>
    </row>
    <row r="116" spans="5:6" s="448" customFormat="1" ht="12.75">
      <c r="E116" s="464"/>
      <c r="F116" s="465"/>
    </row>
    <row r="117" spans="5:6" s="448" customFormat="1" ht="12.75">
      <c r="E117" s="464"/>
      <c r="F117" s="465"/>
    </row>
    <row r="118" spans="5:6" s="448" customFormat="1" ht="12.75">
      <c r="E118" s="464"/>
      <c r="F118" s="465"/>
    </row>
    <row r="119" spans="5:6" s="448" customFormat="1" ht="12.75">
      <c r="E119" s="464"/>
      <c r="F119" s="465"/>
    </row>
    <row r="120" spans="5:6" s="448" customFormat="1" ht="12.75">
      <c r="E120" s="464"/>
      <c r="F120" s="465"/>
    </row>
    <row r="121" spans="5:6" s="448" customFormat="1" ht="12.75">
      <c r="E121" s="464"/>
      <c r="F121" s="465"/>
    </row>
    <row r="122" spans="5:6" s="448" customFormat="1" ht="12.75">
      <c r="E122" s="464"/>
      <c r="F122" s="465"/>
    </row>
    <row r="123" spans="5:6" s="448" customFormat="1" ht="12.75">
      <c r="E123" s="464"/>
      <c r="F123" s="465"/>
    </row>
    <row r="124" spans="5:6" s="448" customFormat="1" ht="12.75">
      <c r="E124" s="464"/>
      <c r="F124" s="465"/>
    </row>
    <row r="125" spans="5:6" s="448" customFormat="1" ht="12.75">
      <c r="E125" s="464"/>
      <c r="F125" s="465"/>
    </row>
    <row r="126" spans="5:6" s="448" customFormat="1" ht="12.75">
      <c r="E126" s="464"/>
      <c r="F126" s="465"/>
    </row>
    <row r="127" spans="5:6" s="448" customFormat="1" ht="12.75">
      <c r="E127" s="464"/>
      <c r="F127" s="465"/>
    </row>
    <row r="128" spans="5:6" s="448" customFormat="1" ht="12.75">
      <c r="E128" s="464"/>
      <c r="F128" s="465"/>
    </row>
    <row r="129" spans="5:6" s="448" customFormat="1" ht="12.75">
      <c r="E129" s="464"/>
      <c r="F129" s="465"/>
    </row>
    <row r="130" spans="5:6" s="448" customFormat="1" ht="12.75">
      <c r="E130" s="464"/>
      <c r="F130" s="465"/>
    </row>
    <row r="131" spans="5:6" s="448" customFormat="1" ht="12.75">
      <c r="E131" s="464"/>
      <c r="F131" s="465"/>
    </row>
    <row r="132" spans="5:6" s="448" customFormat="1" ht="12.75">
      <c r="E132" s="464"/>
      <c r="F132" s="465"/>
    </row>
    <row r="133" spans="5:6" s="448" customFormat="1" ht="12.75">
      <c r="E133" s="464"/>
      <c r="F133" s="465"/>
    </row>
    <row r="134" spans="5:6" s="448" customFormat="1" ht="12.75">
      <c r="E134" s="464"/>
      <c r="F134" s="465"/>
    </row>
    <row r="135" spans="5:6" s="448" customFormat="1" ht="12.75">
      <c r="E135" s="464"/>
      <c r="F135" s="465"/>
    </row>
    <row r="136" spans="5:6" s="448" customFormat="1" ht="12.75">
      <c r="E136" s="464"/>
      <c r="F136" s="465"/>
    </row>
    <row r="137" spans="5:6" s="448" customFormat="1" ht="12.75">
      <c r="E137" s="464"/>
      <c r="F137" s="465"/>
    </row>
    <row r="138" spans="5:6" s="448" customFormat="1" ht="12.75">
      <c r="E138" s="464"/>
      <c r="F138" s="465"/>
    </row>
    <row r="139" spans="5:6" s="448" customFormat="1" ht="12.75">
      <c r="E139" s="464"/>
      <c r="F139" s="465"/>
    </row>
    <row r="140" spans="5:6" s="448" customFormat="1" ht="12.75">
      <c r="E140" s="464"/>
      <c r="F140" s="465"/>
    </row>
    <row r="141" spans="5:6" s="448" customFormat="1" ht="12.75">
      <c r="E141" s="464"/>
      <c r="F141" s="465"/>
    </row>
    <row r="142" spans="5:6" s="448" customFormat="1" ht="12.75">
      <c r="E142" s="464"/>
      <c r="F142" s="465"/>
    </row>
    <row r="143" spans="5:6" s="448" customFormat="1" ht="12.75">
      <c r="E143" s="464"/>
      <c r="F143" s="465"/>
    </row>
    <row r="144" spans="5:6" s="448" customFormat="1" ht="12.75">
      <c r="E144" s="464"/>
      <c r="F144" s="465"/>
    </row>
    <row r="145" spans="5:6" s="448" customFormat="1" ht="12.75">
      <c r="E145" s="464"/>
      <c r="F145" s="465"/>
    </row>
    <row r="146" spans="5:6" s="448" customFormat="1" ht="12.75">
      <c r="E146" s="464"/>
      <c r="F146" s="465"/>
    </row>
    <row r="147" spans="5:6" s="448" customFormat="1" ht="12.75">
      <c r="E147" s="464"/>
      <c r="F147" s="465"/>
    </row>
    <row r="148" spans="5:6" s="448" customFormat="1" ht="12.75">
      <c r="E148" s="464"/>
      <c r="F148" s="465"/>
    </row>
    <row r="149" spans="5:6" s="448" customFormat="1" ht="12.75">
      <c r="E149" s="464"/>
      <c r="F149" s="465"/>
    </row>
    <row r="150" spans="5:6" s="448" customFormat="1" ht="12.75">
      <c r="E150" s="464"/>
      <c r="F150" s="465"/>
    </row>
    <row r="151" spans="5:6" s="448" customFormat="1" ht="12.75">
      <c r="E151" s="464"/>
      <c r="F151" s="465"/>
    </row>
    <row r="152" spans="5:6" s="448" customFormat="1" ht="12.75">
      <c r="E152" s="464"/>
      <c r="F152" s="465"/>
    </row>
    <row r="153" spans="5:6" s="448" customFormat="1" ht="12.75">
      <c r="E153" s="464"/>
      <c r="F153" s="465"/>
    </row>
    <row r="154" spans="5:6" s="448" customFormat="1" ht="12.75">
      <c r="E154" s="464"/>
      <c r="F154" s="465"/>
    </row>
    <row r="155" spans="5:6" s="448" customFormat="1" ht="12.75">
      <c r="E155" s="464"/>
      <c r="F155" s="465"/>
    </row>
    <row r="156" spans="5:6" s="448" customFormat="1" ht="12.75">
      <c r="E156" s="464"/>
      <c r="F156" s="465"/>
    </row>
    <row r="157" spans="5:6" s="448" customFormat="1" ht="12.75">
      <c r="E157" s="464"/>
      <c r="F157" s="465"/>
    </row>
    <row r="158" spans="5:6" s="448" customFormat="1" ht="12.75">
      <c r="E158" s="464"/>
      <c r="F158" s="465"/>
    </row>
    <row r="159" spans="5:6" s="448" customFormat="1" ht="12.75">
      <c r="E159" s="464"/>
      <c r="F159" s="465"/>
    </row>
    <row r="160" spans="5:6" s="448" customFormat="1" ht="12.75">
      <c r="E160" s="464"/>
      <c r="F160" s="465"/>
    </row>
    <row r="161" spans="5:6" s="448" customFormat="1" ht="12.75">
      <c r="E161" s="464"/>
      <c r="F161" s="465"/>
    </row>
    <row r="162" spans="5:6" s="448" customFormat="1" ht="12.75">
      <c r="E162" s="464"/>
      <c r="F162" s="465"/>
    </row>
    <row r="163" spans="5:6" s="448" customFormat="1" ht="12.75">
      <c r="E163" s="464"/>
      <c r="F163" s="465"/>
    </row>
    <row r="164" spans="5:6" s="448" customFormat="1" ht="12.75">
      <c r="E164" s="464"/>
      <c r="F164" s="465"/>
    </row>
    <row r="165" spans="5:6" s="448" customFormat="1" ht="12.75">
      <c r="E165" s="464"/>
      <c r="F165" s="465"/>
    </row>
    <row r="166" spans="5:6" s="448" customFormat="1" ht="12.75">
      <c r="E166" s="464"/>
      <c r="F166" s="465"/>
    </row>
    <row r="167" spans="5:6" s="448" customFormat="1" ht="12.75">
      <c r="E167" s="464"/>
      <c r="F167" s="465"/>
    </row>
    <row r="168" spans="5:6" s="448" customFormat="1" ht="12.75">
      <c r="E168" s="464"/>
      <c r="F168" s="465"/>
    </row>
    <row r="169" spans="5:6" s="448" customFormat="1" ht="12.75">
      <c r="E169" s="464"/>
      <c r="F169" s="465"/>
    </row>
    <row r="170" spans="5:6" s="448" customFormat="1" ht="12.75">
      <c r="E170" s="464"/>
      <c r="F170" s="465"/>
    </row>
    <row r="171" spans="5:6" s="448" customFormat="1" ht="12.75">
      <c r="E171" s="464"/>
      <c r="F171" s="465"/>
    </row>
    <row r="172" spans="5:6" s="448" customFormat="1" ht="12.75">
      <c r="E172" s="464"/>
      <c r="F172" s="465"/>
    </row>
    <row r="173" spans="5:6" s="448" customFormat="1" ht="12.75">
      <c r="E173" s="464"/>
      <c r="F173" s="465"/>
    </row>
    <row r="174" spans="5:6" s="448" customFormat="1" ht="12.75">
      <c r="E174" s="464"/>
      <c r="F174" s="465"/>
    </row>
    <row r="175" spans="5:6" s="448" customFormat="1" ht="12.75">
      <c r="E175" s="464"/>
      <c r="F175" s="465"/>
    </row>
    <row r="176" spans="5:6" s="448" customFormat="1" ht="12.75">
      <c r="E176" s="464"/>
      <c r="F176" s="465"/>
    </row>
    <row r="177" spans="5:6" s="448" customFormat="1" ht="12.75">
      <c r="E177" s="464"/>
      <c r="F177" s="465"/>
    </row>
    <row r="178" spans="5:6" s="448" customFormat="1" ht="12.75">
      <c r="E178" s="464"/>
      <c r="F178" s="465"/>
    </row>
    <row r="179" spans="5:6" s="448" customFormat="1" ht="12.75">
      <c r="E179" s="464"/>
      <c r="F179" s="465"/>
    </row>
    <row r="180" spans="5:6" s="448" customFormat="1" ht="12.75">
      <c r="E180" s="464"/>
      <c r="F180" s="465"/>
    </row>
    <row r="181" spans="5:6" s="448" customFormat="1" ht="12.75">
      <c r="E181" s="464"/>
      <c r="F181" s="465"/>
    </row>
    <row r="182" spans="5:6" s="448" customFormat="1" ht="12.75">
      <c r="E182" s="464"/>
      <c r="F182" s="465"/>
    </row>
    <row r="183" spans="5:6" s="448" customFormat="1" ht="12.75">
      <c r="E183" s="464"/>
      <c r="F183" s="465"/>
    </row>
    <row r="184" spans="5:6" s="448" customFormat="1" ht="12.75">
      <c r="E184" s="464"/>
      <c r="F184" s="465"/>
    </row>
    <row r="185" spans="5:6" s="448" customFormat="1" ht="12.75">
      <c r="E185" s="464"/>
      <c r="F185" s="465"/>
    </row>
    <row r="186" spans="5:6" s="448" customFormat="1" ht="12.75">
      <c r="E186" s="464"/>
      <c r="F186" s="465"/>
    </row>
    <row r="187" spans="5:6" s="448" customFormat="1" ht="12.75">
      <c r="E187" s="464"/>
      <c r="F187" s="465"/>
    </row>
    <row r="188" spans="5:6" s="448" customFormat="1" ht="12.75">
      <c r="E188" s="464"/>
      <c r="F188" s="465"/>
    </row>
    <row r="189" spans="5:6" s="448" customFormat="1" ht="12.75">
      <c r="E189" s="464"/>
      <c r="F189" s="465"/>
    </row>
    <row r="190" spans="5:6" s="448" customFormat="1" ht="12.75">
      <c r="E190" s="464"/>
      <c r="F190" s="465"/>
    </row>
    <row r="191" spans="5:6" s="448" customFormat="1" ht="12.75">
      <c r="E191" s="464"/>
      <c r="F191" s="465"/>
    </row>
    <row r="192" spans="5:6" s="448" customFormat="1" ht="12.75">
      <c r="E192" s="464"/>
      <c r="F192" s="465"/>
    </row>
    <row r="193" spans="5:6" s="448" customFormat="1" ht="12.75">
      <c r="E193" s="464"/>
      <c r="F193" s="465"/>
    </row>
    <row r="194" spans="5:6" s="448" customFormat="1" ht="12.75">
      <c r="E194" s="464"/>
      <c r="F194" s="465"/>
    </row>
    <row r="195" spans="5:6" s="448" customFormat="1" ht="12.75">
      <c r="E195" s="464"/>
      <c r="F195" s="465"/>
    </row>
    <row r="196" spans="5:6" s="448" customFormat="1" ht="12.75">
      <c r="E196" s="464"/>
      <c r="F196" s="465"/>
    </row>
    <row r="197" spans="5:6" s="448" customFormat="1" ht="12.75">
      <c r="E197" s="464"/>
      <c r="F197" s="465"/>
    </row>
    <row r="198" spans="5:6" s="448" customFormat="1" ht="12.75">
      <c r="E198" s="464"/>
      <c r="F198" s="465"/>
    </row>
    <row r="199" spans="5:6" s="448" customFormat="1" ht="12.75">
      <c r="E199" s="464"/>
      <c r="F199" s="465"/>
    </row>
    <row r="200" spans="5:6" s="448" customFormat="1" ht="12.75">
      <c r="E200" s="464"/>
      <c r="F200" s="465"/>
    </row>
    <row r="201" spans="5:6" s="448" customFormat="1" ht="12.75">
      <c r="E201" s="464"/>
      <c r="F201" s="465"/>
    </row>
    <row r="202" spans="5:6" s="448" customFormat="1" ht="12.75">
      <c r="E202" s="464"/>
      <c r="F202" s="465"/>
    </row>
    <row r="203" spans="5:6" s="448" customFormat="1" ht="12.75">
      <c r="E203" s="464"/>
      <c r="F203" s="465"/>
    </row>
    <row r="204" spans="5:6" s="448" customFormat="1" ht="12.75">
      <c r="E204" s="464"/>
      <c r="F204" s="465"/>
    </row>
    <row r="205" spans="5:6" s="448" customFormat="1" ht="12.75">
      <c r="E205" s="464"/>
      <c r="F205" s="465"/>
    </row>
    <row r="206" spans="5:6" s="448" customFormat="1" ht="12.75">
      <c r="E206" s="464"/>
      <c r="F206" s="465"/>
    </row>
    <row r="207" spans="5:6" s="448" customFormat="1" ht="12.75">
      <c r="E207" s="464"/>
      <c r="F207" s="465"/>
    </row>
    <row r="208" spans="5:6" s="448" customFormat="1" ht="12.75">
      <c r="E208" s="464"/>
      <c r="F208" s="465"/>
    </row>
    <row r="209" spans="5:6" s="448" customFormat="1" ht="12.75">
      <c r="E209" s="464"/>
      <c r="F209" s="465"/>
    </row>
    <row r="210" spans="5:6" s="448" customFormat="1" ht="12.75">
      <c r="E210" s="464"/>
      <c r="F210" s="465"/>
    </row>
    <row r="211" spans="5:6" s="448" customFormat="1" ht="12.75">
      <c r="E211" s="464"/>
      <c r="F211" s="465"/>
    </row>
    <row r="212" spans="5:6" s="448" customFormat="1" ht="12.75">
      <c r="E212" s="464"/>
      <c r="F212" s="465"/>
    </row>
    <row r="213" spans="5:6" s="448" customFormat="1" ht="12.75">
      <c r="E213" s="464"/>
      <c r="F213" s="465"/>
    </row>
    <row r="214" spans="5:6" s="448" customFormat="1" ht="12.75">
      <c r="E214" s="464"/>
      <c r="F214" s="465"/>
    </row>
    <row r="215" spans="5:6" s="448" customFormat="1" ht="12.75">
      <c r="E215" s="464"/>
      <c r="F215" s="465"/>
    </row>
    <row r="216" spans="5:6" s="448" customFormat="1" ht="12.75">
      <c r="E216" s="464"/>
      <c r="F216" s="465"/>
    </row>
    <row r="217" spans="5:6" s="448" customFormat="1" ht="12.75">
      <c r="E217" s="464"/>
      <c r="F217" s="465"/>
    </row>
    <row r="218" spans="5:6" s="448" customFormat="1" ht="12.75">
      <c r="E218" s="464"/>
      <c r="F218" s="465"/>
    </row>
    <row r="219" spans="5:6" s="448" customFormat="1" ht="12.75">
      <c r="E219" s="464"/>
      <c r="F219" s="465"/>
    </row>
    <row r="220" spans="5:6" s="448" customFormat="1" ht="12.75">
      <c r="E220" s="464"/>
      <c r="F220" s="465"/>
    </row>
    <row r="221" spans="5:6" s="448" customFormat="1" ht="12.75">
      <c r="E221" s="464"/>
      <c r="F221" s="465"/>
    </row>
    <row r="222" spans="5:6" s="448" customFormat="1" ht="12.75">
      <c r="E222" s="464"/>
      <c r="F222" s="465"/>
    </row>
    <row r="223" spans="5:6" s="448" customFormat="1" ht="12.75">
      <c r="E223" s="464"/>
      <c r="F223" s="465"/>
    </row>
    <row r="224" spans="5:6" s="448" customFormat="1" ht="12.75">
      <c r="E224" s="464"/>
      <c r="F224" s="465"/>
    </row>
    <row r="225" spans="5:6" s="448" customFormat="1" ht="12.75">
      <c r="E225" s="464"/>
      <c r="F225" s="465"/>
    </row>
    <row r="226" spans="5:6" s="448" customFormat="1" ht="12.75">
      <c r="E226" s="464"/>
      <c r="F226" s="465"/>
    </row>
    <row r="227" spans="5:6" s="448" customFormat="1" ht="12.75">
      <c r="E227" s="464"/>
      <c r="F227" s="465"/>
    </row>
    <row r="228" spans="5:6" s="448" customFormat="1" ht="12.75">
      <c r="E228" s="464"/>
      <c r="F228" s="465"/>
    </row>
    <row r="229" spans="5:6" s="448" customFormat="1" ht="12.75">
      <c r="E229" s="464"/>
      <c r="F229" s="465"/>
    </row>
    <row r="230" spans="5:6" s="448" customFormat="1" ht="12.75">
      <c r="E230" s="464"/>
      <c r="F230" s="465"/>
    </row>
    <row r="231" spans="5:6" s="448" customFormat="1" ht="12.75">
      <c r="E231" s="464"/>
      <c r="F231" s="465"/>
    </row>
    <row r="232" spans="5:6" s="448" customFormat="1" ht="12.75">
      <c r="E232" s="464"/>
      <c r="F232" s="465"/>
    </row>
    <row r="233" spans="5:6" s="448" customFormat="1" ht="12.75">
      <c r="E233" s="464"/>
      <c r="F233" s="465"/>
    </row>
    <row r="234" spans="5:6" s="448" customFormat="1" ht="12.75">
      <c r="E234" s="464"/>
      <c r="F234" s="465"/>
    </row>
    <row r="235" spans="5:6" s="448" customFormat="1" ht="12.75">
      <c r="E235" s="464"/>
      <c r="F235" s="465"/>
    </row>
    <row r="236" spans="5:6" s="448" customFormat="1" ht="12.75">
      <c r="E236" s="464"/>
      <c r="F236" s="465"/>
    </row>
    <row r="237" spans="5:6" s="448" customFormat="1" ht="12.75">
      <c r="E237" s="464"/>
      <c r="F237" s="465"/>
    </row>
    <row r="238" spans="5:6" s="448" customFormat="1" ht="12.75">
      <c r="E238" s="464"/>
      <c r="F238" s="465"/>
    </row>
    <row r="239" spans="5:6" s="448" customFormat="1" ht="12.75">
      <c r="E239" s="464"/>
      <c r="F239" s="465"/>
    </row>
    <row r="240" spans="5:6" s="448" customFormat="1" ht="12.75">
      <c r="E240" s="464"/>
      <c r="F240" s="465"/>
    </row>
    <row r="241" spans="5:6" s="448" customFormat="1" ht="12.75">
      <c r="E241" s="464"/>
      <c r="F241" s="465"/>
    </row>
    <row r="242" spans="5:6" s="448" customFormat="1" ht="12.75">
      <c r="E242" s="464"/>
      <c r="F242" s="465"/>
    </row>
    <row r="243" spans="5:6" s="448" customFormat="1" ht="12.75">
      <c r="E243" s="464"/>
      <c r="F243" s="465"/>
    </row>
    <row r="244" spans="5:6" s="448" customFormat="1" ht="12.75">
      <c r="E244" s="464"/>
      <c r="F244" s="465"/>
    </row>
    <row r="245" spans="5:6" s="448" customFormat="1" ht="12.75">
      <c r="E245" s="464"/>
      <c r="F245" s="465"/>
    </row>
    <row r="246" spans="5:6" s="448" customFormat="1" ht="12.75">
      <c r="E246" s="464"/>
      <c r="F246" s="465"/>
    </row>
    <row r="247" spans="5:6" s="448" customFormat="1" ht="12.75">
      <c r="E247" s="464"/>
      <c r="F247" s="465"/>
    </row>
    <row r="248" spans="5:6" s="448" customFormat="1" ht="12.75">
      <c r="E248" s="464"/>
      <c r="F248" s="465"/>
    </row>
    <row r="249" spans="5:6" s="448" customFormat="1" ht="12.75">
      <c r="E249" s="464"/>
      <c r="F249" s="465"/>
    </row>
    <row r="250" spans="5:6" s="448" customFormat="1" ht="12.75">
      <c r="E250" s="464"/>
      <c r="F250" s="465"/>
    </row>
    <row r="251" spans="5:6" s="448" customFormat="1" ht="12.75">
      <c r="E251" s="464"/>
      <c r="F251" s="465"/>
    </row>
    <row r="252" spans="5:6" s="448" customFormat="1" ht="12.75">
      <c r="E252" s="464"/>
      <c r="F252" s="465"/>
    </row>
    <row r="253" spans="5:6" s="448" customFormat="1" ht="12.75">
      <c r="E253" s="464"/>
      <c r="F253" s="465"/>
    </row>
    <row r="254" spans="5:6" s="448" customFormat="1" ht="12.75">
      <c r="E254" s="464"/>
      <c r="F254" s="465"/>
    </row>
    <row r="255" spans="5:6" s="448" customFormat="1" ht="12.75">
      <c r="E255" s="464"/>
      <c r="F255" s="465"/>
    </row>
    <row r="256" spans="5:6" s="448" customFormat="1" ht="12.75">
      <c r="E256" s="464"/>
      <c r="F256" s="465"/>
    </row>
    <row r="257" spans="5:6" s="448" customFormat="1" ht="12.75">
      <c r="E257" s="464"/>
      <c r="F257" s="465"/>
    </row>
    <row r="258" spans="5:6" s="448" customFormat="1" ht="12.75">
      <c r="E258" s="464"/>
      <c r="F258" s="465"/>
    </row>
    <row r="259" spans="5:6" s="448" customFormat="1" ht="12.75">
      <c r="E259" s="464"/>
      <c r="F259" s="465"/>
    </row>
    <row r="260" spans="5:6" s="448" customFormat="1" ht="12.75">
      <c r="E260" s="464"/>
      <c r="F260" s="465"/>
    </row>
    <row r="261" spans="5:6" s="448" customFormat="1" ht="12.75">
      <c r="E261" s="464"/>
      <c r="F261" s="465"/>
    </row>
    <row r="262" spans="5:6" s="448" customFormat="1" ht="12.75">
      <c r="E262" s="464"/>
      <c r="F262" s="465"/>
    </row>
    <row r="263" spans="5:6" s="448" customFormat="1" ht="12.75">
      <c r="E263" s="464"/>
      <c r="F263" s="465"/>
    </row>
    <row r="264" spans="5:6" s="448" customFormat="1" ht="12.75">
      <c r="E264" s="464"/>
      <c r="F264" s="465"/>
    </row>
    <row r="265" spans="5:6" s="448" customFormat="1" ht="12.75">
      <c r="E265" s="464"/>
      <c r="F265" s="465"/>
    </row>
    <row r="266" spans="5:6" s="448" customFormat="1" ht="12.75">
      <c r="E266" s="464"/>
      <c r="F266" s="465"/>
    </row>
    <row r="267" spans="5:6" s="448" customFormat="1" ht="12.75">
      <c r="E267" s="464"/>
      <c r="F267" s="465"/>
    </row>
    <row r="268" spans="5:6" s="448" customFormat="1" ht="12.75">
      <c r="E268" s="464"/>
      <c r="F268" s="465"/>
    </row>
    <row r="269" spans="5:6" s="448" customFormat="1" ht="12.75">
      <c r="E269" s="464"/>
      <c r="F269" s="465"/>
    </row>
    <row r="270" spans="5:6" s="448" customFormat="1" ht="12.75">
      <c r="E270" s="464"/>
      <c r="F270" s="465"/>
    </row>
    <row r="271" spans="5:6" s="448" customFormat="1" ht="12.75">
      <c r="E271" s="464"/>
      <c r="F271" s="465"/>
    </row>
    <row r="272" spans="5:6" s="448" customFormat="1" ht="12.75">
      <c r="E272" s="464"/>
      <c r="F272" s="465"/>
    </row>
    <row r="273" spans="5:6" s="448" customFormat="1" ht="12.75">
      <c r="E273" s="464"/>
      <c r="F273" s="465"/>
    </row>
    <row r="274" spans="5:6" s="448" customFormat="1" ht="12.75">
      <c r="E274" s="464"/>
      <c r="F274" s="465"/>
    </row>
    <row r="275" spans="5:6" s="448" customFormat="1" ht="12.75">
      <c r="E275" s="464"/>
      <c r="F275" s="465"/>
    </row>
    <row r="276" spans="5:6" s="448" customFormat="1" ht="12.75">
      <c r="E276" s="464"/>
      <c r="F276" s="465"/>
    </row>
    <row r="277" spans="5:6" s="448" customFormat="1" ht="12.75">
      <c r="E277" s="464"/>
      <c r="F277" s="465"/>
    </row>
    <row r="278" spans="5:6" s="448" customFormat="1" ht="12.75">
      <c r="E278" s="464"/>
      <c r="F278" s="465"/>
    </row>
    <row r="279" spans="5:6" s="448" customFormat="1" ht="12.75">
      <c r="E279" s="464"/>
      <c r="F279" s="465"/>
    </row>
    <row r="280" spans="5:6" s="448" customFormat="1" ht="12.75">
      <c r="E280" s="464"/>
      <c r="F280" s="465"/>
    </row>
    <row r="281" spans="5:6" s="448" customFormat="1" ht="12.75">
      <c r="E281" s="464"/>
      <c r="F281" s="465"/>
    </row>
    <row r="282" spans="5:6" s="448" customFormat="1" ht="12.75">
      <c r="E282" s="464"/>
      <c r="F282" s="465"/>
    </row>
    <row r="283" spans="5:6" s="448" customFormat="1" ht="12.75">
      <c r="E283" s="464"/>
      <c r="F283" s="465"/>
    </row>
    <row r="284" spans="5:6" s="448" customFormat="1" ht="12.75">
      <c r="E284" s="464"/>
      <c r="F284" s="465"/>
    </row>
    <row r="285" spans="5:6" s="448" customFormat="1" ht="12.75">
      <c r="E285" s="464"/>
      <c r="F285" s="465"/>
    </row>
    <row r="286" spans="5:6" s="448" customFormat="1" ht="12.75">
      <c r="E286" s="464"/>
      <c r="F286" s="465"/>
    </row>
    <row r="287" spans="5:6" s="448" customFormat="1" ht="12.75">
      <c r="E287" s="464"/>
      <c r="F287" s="465"/>
    </row>
    <row r="288" spans="5:6" s="448" customFormat="1" ht="12.75">
      <c r="E288" s="464"/>
      <c r="F288" s="465"/>
    </row>
    <row r="289" spans="5:6" s="448" customFormat="1" ht="12.75">
      <c r="E289" s="464"/>
      <c r="F289" s="465"/>
    </row>
    <row r="290" spans="5:6" s="448" customFormat="1" ht="12.75">
      <c r="E290" s="464"/>
      <c r="F290" s="465"/>
    </row>
    <row r="291" spans="5:6" s="448" customFormat="1" ht="12.75">
      <c r="E291" s="464"/>
      <c r="F291" s="465"/>
    </row>
    <row r="292" spans="5:6" s="448" customFormat="1" ht="12.75">
      <c r="E292" s="464"/>
      <c r="F292" s="465"/>
    </row>
    <row r="293" spans="5:6" s="448" customFormat="1" ht="12.75">
      <c r="E293" s="464"/>
      <c r="F293" s="465"/>
    </row>
    <row r="294" spans="5:6" s="448" customFormat="1" ht="12.75">
      <c r="E294" s="464"/>
      <c r="F294" s="465"/>
    </row>
    <row r="295" spans="5:6" s="448" customFormat="1" ht="12.75">
      <c r="E295" s="464"/>
      <c r="F295" s="465"/>
    </row>
    <row r="296" spans="5:6" s="448" customFormat="1" ht="12.75">
      <c r="E296" s="464"/>
      <c r="F296" s="465"/>
    </row>
    <row r="297" spans="5:6" s="448" customFormat="1" ht="12.75">
      <c r="E297" s="464"/>
      <c r="F297" s="465"/>
    </row>
    <row r="298" spans="5:6" s="448" customFormat="1" ht="12.75">
      <c r="E298" s="464"/>
      <c r="F298" s="465"/>
    </row>
    <row r="299" spans="5:6" s="448" customFormat="1" ht="12.75">
      <c r="E299" s="464"/>
      <c r="F299" s="465"/>
    </row>
    <row r="300" spans="5:6" s="448" customFormat="1" ht="12.75">
      <c r="E300" s="464"/>
      <c r="F300" s="465"/>
    </row>
    <row r="301" spans="5:6" s="448" customFormat="1" ht="12.75">
      <c r="E301" s="464"/>
      <c r="F301" s="465"/>
    </row>
    <row r="302" spans="5:6" s="448" customFormat="1" ht="12.75">
      <c r="E302" s="464"/>
      <c r="F302" s="465"/>
    </row>
    <row r="303" spans="5:6" s="448" customFormat="1" ht="12.75">
      <c r="E303" s="464"/>
      <c r="F303" s="465"/>
    </row>
    <row r="304" spans="5:6" s="448" customFormat="1" ht="12.75">
      <c r="E304" s="464"/>
      <c r="F304" s="465"/>
    </row>
    <row r="305" spans="5:6" s="448" customFormat="1" ht="12.75">
      <c r="E305" s="464"/>
      <c r="F305" s="465"/>
    </row>
    <row r="306" spans="5:6" s="448" customFormat="1" ht="12.75">
      <c r="E306" s="464"/>
      <c r="F306" s="465"/>
    </row>
    <row r="307" spans="5:6" s="448" customFormat="1" ht="12.75">
      <c r="E307" s="464"/>
      <c r="F307" s="465"/>
    </row>
    <row r="308" spans="5:6" s="448" customFormat="1" ht="12.75">
      <c r="E308" s="464"/>
      <c r="F308" s="465"/>
    </row>
    <row r="309" spans="5:6" s="448" customFormat="1" ht="12.75">
      <c r="E309" s="464"/>
      <c r="F309" s="465"/>
    </row>
    <row r="310" spans="5:6" s="448" customFormat="1" ht="12.75">
      <c r="E310" s="464"/>
      <c r="F310" s="465"/>
    </row>
    <row r="311" spans="5:6" s="448" customFormat="1" ht="12.75">
      <c r="E311" s="464"/>
      <c r="F311" s="465"/>
    </row>
    <row r="312" spans="5:6" s="448" customFormat="1" ht="12.75">
      <c r="E312" s="464"/>
      <c r="F312" s="465"/>
    </row>
    <row r="313" spans="5:6" s="448" customFormat="1" ht="12.75">
      <c r="E313" s="464"/>
      <c r="F313" s="465"/>
    </row>
    <row r="314" spans="5:6" s="448" customFormat="1" ht="12.75">
      <c r="E314" s="464"/>
      <c r="F314" s="465"/>
    </row>
    <row r="315" spans="5:6" s="448" customFormat="1" ht="12.75">
      <c r="E315" s="464"/>
      <c r="F315" s="465"/>
    </row>
    <row r="316" spans="5:6" s="448" customFormat="1" ht="12.75">
      <c r="E316" s="464"/>
      <c r="F316" s="465"/>
    </row>
    <row r="317" spans="5:6" s="448" customFormat="1" ht="12.75">
      <c r="E317" s="464"/>
      <c r="F317" s="465"/>
    </row>
    <row r="318" spans="5:6" s="448" customFormat="1" ht="12.75">
      <c r="E318" s="464"/>
      <c r="F318" s="465"/>
    </row>
    <row r="319" spans="5:6" s="448" customFormat="1" ht="12.75">
      <c r="E319" s="464"/>
      <c r="F319" s="465"/>
    </row>
    <row r="320" spans="5:6" s="448" customFormat="1" ht="12.75">
      <c r="E320" s="464"/>
      <c r="F320" s="465"/>
    </row>
    <row r="321" spans="5:6" s="448" customFormat="1" ht="12.75">
      <c r="E321" s="464"/>
      <c r="F321" s="465"/>
    </row>
    <row r="322" spans="5:6" s="448" customFormat="1" ht="12.75">
      <c r="E322" s="464"/>
      <c r="F322" s="465"/>
    </row>
    <row r="323" spans="5:6" s="448" customFormat="1" ht="12.75">
      <c r="E323" s="464"/>
      <c r="F323" s="465"/>
    </row>
    <row r="324" spans="5:6" s="448" customFormat="1" ht="12.75">
      <c r="E324" s="464"/>
      <c r="F324" s="465"/>
    </row>
    <row r="325" spans="5:6" s="448" customFormat="1" ht="12.75">
      <c r="E325" s="464"/>
      <c r="F325" s="465"/>
    </row>
    <row r="326" spans="5:6" s="448" customFormat="1" ht="12.75">
      <c r="E326" s="464"/>
      <c r="F326" s="465"/>
    </row>
    <row r="327" spans="5:6" s="448" customFormat="1" ht="12.75">
      <c r="E327" s="464"/>
      <c r="F327" s="465"/>
    </row>
    <row r="328" spans="5:6" s="448" customFormat="1" ht="12.75">
      <c r="E328" s="464"/>
      <c r="F328" s="465"/>
    </row>
    <row r="329" spans="5:6" s="448" customFormat="1" ht="12.75">
      <c r="E329" s="464"/>
      <c r="F329" s="465"/>
    </row>
    <row r="330" spans="5:6" s="448" customFormat="1" ht="12.75">
      <c r="E330" s="464"/>
      <c r="F330" s="465"/>
    </row>
    <row r="331" spans="5:6" s="448" customFormat="1" ht="12.75">
      <c r="E331" s="464"/>
      <c r="F331" s="465"/>
    </row>
    <row r="332" spans="5:6" s="448" customFormat="1" ht="12.75">
      <c r="E332" s="464"/>
      <c r="F332" s="465"/>
    </row>
    <row r="333" spans="5:6" s="448" customFormat="1" ht="12.75">
      <c r="E333" s="464"/>
      <c r="F333" s="465"/>
    </row>
    <row r="334" spans="5:6" s="448" customFormat="1" ht="12.75">
      <c r="E334" s="464"/>
      <c r="F334" s="465"/>
    </row>
    <row r="335" spans="5:6" s="448" customFormat="1" ht="12.75">
      <c r="E335" s="464"/>
      <c r="F335" s="465"/>
    </row>
    <row r="336" spans="5:6" s="448" customFormat="1" ht="12.75">
      <c r="E336" s="464"/>
      <c r="F336" s="465"/>
    </row>
    <row r="337" spans="5:6" s="448" customFormat="1" ht="12.75">
      <c r="E337" s="464"/>
      <c r="F337" s="465"/>
    </row>
    <row r="338" spans="5:6" s="448" customFormat="1" ht="12.75">
      <c r="E338" s="464"/>
      <c r="F338" s="465"/>
    </row>
    <row r="339" spans="5:6" s="448" customFormat="1" ht="12.75">
      <c r="E339" s="464"/>
      <c r="F339" s="465"/>
    </row>
    <row r="340" spans="5:6" s="448" customFormat="1" ht="12.75">
      <c r="E340" s="464"/>
      <c r="F340" s="465"/>
    </row>
    <row r="341" spans="5:6" s="448" customFormat="1" ht="12.75">
      <c r="E341" s="464"/>
      <c r="F341" s="465"/>
    </row>
    <row r="342" spans="5:6" s="448" customFormat="1" ht="12.75">
      <c r="E342" s="464"/>
      <c r="F342" s="465"/>
    </row>
    <row r="343" spans="5:6" s="448" customFormat="1" ht="12.75">
      <c r="E343" s="464"/>
      <c r="F343" s="465"/>
    </row>
    <row r="344" spans="5:6" s="448" customFormat="1" ht="12.75">
      <c r="E344" s="464"/>
      <c r="F344" s="465"/>
    </row>
    <row r="345" spans="5:6" s="448" customFormat="1" ht="12.75">
      <c r="E345" s="464"/>
      <c r="F345" s="465"/>
    </row>
    <row r="346" spans="5:6" s="448" customFormat="1" ht="12.75">
      <c r="E346" s="464"/>
      <c r="F346" s="465"/>
    </row>
    <row r="347" spans="5:6" s="448" customFormat="1" ht="12.75">
      <c r="E347" s="464"/>
      <c r="F347" s="465"/>
    </row>
    <row r="348" spans="5:6" s="448" customFormat="1" ht="12.75">
      <c r="E348" s="464"/>
      <c r="F348" s="465"/>
    </row>
    <row r="349" spans="5:6" s="448" customFormat="1" ht="12.75">
      <c r="E349" s="464"/>
      <c r="F349" s="465"/>
    </row>
    <row r="350" spans="5:6" s="448" customFormat="1" ht="12.75">
      <c r="E350" s="464"/>
      <c r="F350" s="465"/>
    </row>
    <row r="351" spans="5:6" s="448" customFormat="1" ht="12.75">
      <c r="E351" s="464"/>
      <c r="F351" s="465"/>
    </row>
    <row r="352" spans="5:6" s="448" customFormat="1" ht="12.75">
      <c r="E352" s="464"/>
      <c r="F352" s="465"/>
    </row>
    <row r="353" spans="5:6" s="448" customFormat="1" ht="12.75">
      <c r="E353" s="464"/>
      <c r="F353" s="465"/>
    </row>
    <row r="354" spans="5:6" s="448" customFormat="1" ht="12.75">
      <c r="E354" s="464"/>
      <c r="F354" s="465"/>
    </row>
    <row r="355" spans="5:6" s="448" customFormat="1" ht="12.75">
      <c r="E355" s="464"/>
      <c r="F355" s="465"/>
    </row>
    <row r="356" spans="5:6" s="448" customFormat="1" ht="12.75">
      <c r="E356" s="464"/>
      <c r="F356" s="465"/>
    </row>
    <row r="357" spans="5:6" s="448" customFormat="1" ht="12.75">
      <c r="E357" s="464"/>
      <c r="F357" s="465"/>
    </row>
    <row r="358" spans="5:6" s="448" customFormat="1" ht="12.75">
      <c r="E358" s="464"/>
      <c r="F358" s="465"/>
    </row>
    <row r="359" spans="5:6" s="448" customFormat="1" ht="12.75">
      <c r="E359" s="464"/>
      <c r="F359" s="465"/>
    </row>
    <row r="360" spans="5:6" s="448" customFormat="1" ht="12.75">
      <c r="E360" s="464"/>
      <c r="F360" s="465"/>
    </row>
    <row r="361" spans="5:6" s="448" customFormat="1" ht="12.75">
      <c r="E361" s="464"/>
      <c r="F361" s="465"/>
    </row>
    <row r="362" spans="5:6" s="448" customFormat="1" ht="12.75">
      <c r="E362" s="464"/>
      <c r="F362" s="465"/>
    </row>
    <row r="363" spans="5:6" s="448" customFormat="1" ht="12.75">
      <c r="E363" s="464"/>
      <c r="F363" s="465"/>
    </row>
    <row r="364" spans="5:6" s="448" customFormat="1" ht="12.75">
      <c r="E364" s="464"/>
      <c r="F364" s="465"/>
    </row>
    <row r="365" spans="5:6" s="448" customFormat="1" ht="12.75">
      <c r="E365" s="464"/>
      <c r="F365" s="465"/>
    </row>
    <row r="366" spans="5:6" s="448" customFormat="1" ht="12.75">
      <c r="E366" s="464"/>
      <c r="F366" s="465"/>
    </row>
    <row r="367" spans="5:6" s="448" customFormat="1" ht="12.75">
      <c r="E367" s="464"/>
      <c r="F367" s="465"/>
    </row>
    <row r="368" spans="5:6" s="448" customFormat="1" ht="12.75">
      <c r="E368" s="464"/>
      <c r="F368" s="465"/>
    </row>
    <row r="369" spans="5:6" s="448" customFormat="1" ht="12.75">
      <c r="E369" s="464"/>
      <c r="F369" s="465"/>
    </row>
    <row r="370" spans="5:6" s="448" customFormat="1" ht="12.75">
      <c r="E370" s="464"/>
      <c r="F370" s="465"/>
    </row>
    <row r="371" spans="5:6" s="448" customFormat="1" ht="12.75">
      <c r="E371" s="464"/>
      <c r="F371" s="465"/>
    </row>
    <row r="372" spans="5:6" s="448" customFormat="1" ht="12.75">
      <c r="E372" s="464"/>
      <c r="F372" s="465"/>
    </row>
    <row r="373" spans="5:6" s="448" customFormat="1" ht="12.75">
      <c r="E373" s="464"/>
      <c r="F373" s="465"/>
    </row>
    <row r="374" spans="5:6" s="448" customFormat="1" ht="12.75">
      <c r="E374" s="464"/>
      <c r="F374" s="465"/>
    </row>
    <row r="375" spans="5:6" s="448" customFormat="1" ht="12.75">
      <c r="E375" s="464"/>
      <c r="F375" s="465"/>
    </row>
    <row r="376" spans="5:6" s="448" customFormat="1" ht="12.75">
      <c r="E376" s="464"/>
      <c r="F376" s="465"/>
    </row>
    <row r="377" spans="5:6" s="448" customFormat="1" ht="12.75">
      <c r="E377" s="464"/>
      <c r="F377" s="465"/>
    </row>
    <row r="378" spans="5:6" s="448" customFormat="1" ht="12.75">
      <c r="E378" s="464"/>
      <c r="F378" s="465"/>
    </row>
    <row r="379" spans="5:6" s="448" customFormat="1" ht="12.75">
      <c r="E379" s="464"/>
      <c r="F379" s="465"/>
    </row>
    <row r="380" spans="5:6" s="448" customFormat="1" ht="12.75">
      <c r="E380" s="464"/>
      <c r="F380" s="465"/>
    </row>
    <row r="381" spans="5:6" s="448" customFormat="1" ht="12.75">
      <c r="E381" s="464"/>
      <c r="F381" s="465"/>
    </row>
    <row r="382" spans="5:6" s="448" customFormat="1" ht="12.75">
      <c r="E382" s="464"/>
      <c r="F382" s="465"/>
    </row>
    <row r="383" spans="5:6" s="448" customFormat="1" ht="12.75">
      <c r="E383" s="464"/>
      <c r="F383" s="465"/>
    </row>
    <row r="384" spans="5:6" s="448" customFormat="1" ht="12.75">
      <c r="E384" s="464"/>
      <c r="F384" s="465"/>
    </row>
    <row r="385" spans="5:6" s="448" customFormat="1" ht="12.75">
      <c r="E385" s="464"/>
      <c r="F385" s="465"/>
    </row>
    <row r="386" spans="5:6" s="448" customFormat="1" ht="12.75">
      <c r="E386" s="464"/>
      <c r="F386" s="465"/>
    </row>
    <row r="387" spans="5:6" s="448" customFormat="1" ht="12.75">
      <c r="E387" s="464"/>
      <c r="F387" s="465"/>
    </row>
    <row r="388" spans="5:6" s="448" customFormat="1" ht="12.75">
      <c r="E388" s="464"/>
      <c r="F388" s="465"/>
    </row>
    <row r="389" spans="5:6" s="448" customFormat="1" ht="12.75">
      <c r="E389" s="464"/>
      <c r="F389" s="465"/>
    </row>
    <row r="390" spans="5:6" s="448" customFormat="1" ht="12.75">
      <c r="E390" s="464"/>
      <c r="F390" s="465"/>
    </row>
    <row r="391" spans="5:6" s="448" customFormat="1" ht="12.75">
      <c r="E391" s="464"/>
      <c r="F391" s="465"/>
    </row>
    <row r="392" spans="5:6" s="448" customFormat="1" ht="12.75">
      <c r="E392" s="464"/>
      <c r="F392" s="465"/>
    </row>
    <row r="393" spans="5:6" s="448" customFormat="1" ht="12.75">
      <c r="E393" s="464"/>
      <c r="F393" s="465"/>
    </row>
    <row r="394" spans="5:6" s="448" customFormat="1" ht="12.75">
      <c r="E394" s="464"/>
      <c r="F394" s="465"/>
    </row>
    <row r="395" spans="5:6" s="448" customFormat="1" ht="12.75">
      <c r="E395" s="464"/>
      <c r="F395" s="465"/>
    </row>
    <row r="396" spans="5:6" s="448" customFormat="1" ht="12.75">
      <c r="E396" s="464"/>
      <c r="F396" s="465"/>
    </row>
    <row r="397" spans="5:6" s="448" customFormat="1" ht="12.75">
      <c r="E397" s="464"/>
      <c r="F397" s="465"/>
    </row>
    <row r="398" spans="5:6" s="448" customFormat="1" ht="12.75">
      <c r="E398" s="464"/>
      <c r="F398" s="465"/>
    </row>
    <row r="399" spans="5:6" s="448" customFormat="1" ht="12.75">
      <c r="E399" s="464"/>
      <c r="F399" s="465"/>
    </row>
    <row r="400" spans="5:6" s="448" customFormat="1" ht="12.75">
      <c r="E400" s="464"/>
      <c r="F400" s="465"/>
    </row>
    <row r="401" spans="5:6" s="448" customFormat="1" ht="12.75">
      <c r="E401" s="464"/>
      <c r="F401" s="465"/>
    </row>
    <row r="402" spans="5:6" s="448" customFormat="1" ht="12.75">
      <c r="E402" s="464"/>
      <c r="F402" s="465"/>
    </row>
    <row r="403" spans="5:6" s="448" customFormat="1" ht="12.75">
      <c r="E403" s="464"/>
      <c r="F403" s="465"/>
    </row>
    <row r="404" spans="5:6" s="448" customFormat="1" ht="12.75">
      <c r="E404" s="464"/>
      <c r="F404" s="465"/>
    </row>
    <row r="405" spans="5:6" s="448" customFormat="1" ht="12.75">
      <c r="E405" s="464"/>
      <c r="F405" s="465"/>
    </row>
    <row r="406" spans="5:6" s="448" customFormat="1" ht="12.75">
      <c r="E406" s="464"/>
      <c r="F406" s="465"/>
    </row>
    <row r="407" spans="5:6" s="448" customFormat="1" ht="12.75">
      <c r="E407" s="464"/>
      <c r="F407" s="465"/>
    </row>
    <row r="408" spans="5:6" s="448" customFormat="1" ht="12.75">
      <c r="E408" s="464"/>
      <c r="F408" s="465"/>
    </row>
    <row r="409" spans="5:6" s="448" customFormat="1" ht="12.75">
      <c r="E409" s="464"/>
      <c r="F409" s="465"/>
    </row>
    <row r="410" spans="5:6" s="448" customFormat="1" ht="12.75">
      <c r="E410" s="464"/>
      <c r="F410" s="465"/>
    </row>
    <row r="411" spans="5:6" s="448" customFormat="1" ht="12.75">
      <c r="E411" s="464"/>
      <c r="F411" s="465"/>
    </row>
    <row r="412" spans="5:6" s="448" customFormat="1" ht="12.75">
      <c r="E412" s="464"/>
      <c r="F412" s="465"/>
    </row>
    <row r="413" spans="5:6" s="448" customFormat="1" ht="12.75">
      <c r="E413" s="464"/>
      <c r="F413" s="465"/>
    </row>
    <row r="414" spans="5:6" s="448" customFormat="1" ht="12.75">
      <c r="E414" s="464"/>
      <c r="F414" s="465"/>
    </row>
    <row r="415" spans="5:6" s="448" customFormat="1" ht="12.75">
      <c r="E415" s="464"/>
      <c r="F415" s="465"/>
    </row>
    <row r="416" spans="5:6" s="448" customFormat="1" ht="12.75">
      <c r="E416" s="464"/>
      <c r="F416" s="465"/>
    </row>
    <row r="417" spans="5:6" s="448" customFormat="1" ht="12.75">
      <c r="E417" s="464"/>
      <c r="F417" s="465"/>
    </row>
    <row r="418" spans="5:6" s="448" customFormat="1" ht="12.75">
      <c r="E418" s="464"/>
      <c r="F418" s="465"/>
    </row>
    <row r="419" spans="5:6" s="448" customFormat="1" ht="12.75">
      <c r="E419" s="464"/>
      <c r="F419" s="465"/>
    </row>
    <row r="420" spans="5:6" s="448" customFormat="1" ht="12.75">
      <c r="E420" s="464"/>
      <c r="F420" s="465"/>
    </row>
    <row r="421" spans="5:6" s="448" customFormat="1" ht="12.75">
      <c r="E421" s="464"/>
      <c r="F421" s="465"/>
    </row>
    <row r="422" spans="5:6" s="448" customFormat="1" ht="12.75">
      <c r="E422" s="464"/>
      <c r="F422" s="465"/>
    </row>
    <row r="423" spans="5:6" s="448" customFormat="1" ht="12.75">
      <c r="E423" s="464"/>
      <c r="F423" s="465"/>
    </row>
    <row r="424" spans="5:6" s="448" customFormat="1" ht="12.75">
      <c r="E424" s="464"/>
      <c r="F424" s="465"/>
    </row>
    <row r="425" spans="5:6" s="448" customFormat="1" ht="12.75">
      <c r="E425" s="464"/>
      <c r="F425" s="465"/>
    </row>
    <row r="426" spans="5:6" s="448" customFormat="1" ht="12.75">
      <c r="E426" s="464"/>
      <c r="F426" s="465"/>
    </row>
    <row r="427" spans="5:6" s="448" customFormat="1" ht="12.75">
      <c r="E427" s="464"/>
      <c r="F427" s="465"/>
    </row>
    <row r="428" spans="5:6" s="448" customFormat="1" ht="12.75">
      <c r="E428" s="464"/>
      <c r="F428" s="465"/>
    </row>
    <row r="429" spans="5:6" s="448" customFormat="1" ht="12.75">
      <c r="E429" s="464"/>
      <c r="F429" s="465"/>
    </row>
    <row r="430" spans="5:6" s="448" customFormat="1" ht="12.75">
      <c r="E430" s="464"/>
      <c r="F430" s="465"/>
    </row>
    <row r="431" spans="5:6" s="448" customFormat="1" ht="12.75">
      <c r="E431" s="464"/>
      <c r="F431" s="465"/>
    </row>
    <row r="432" spans="5:6" s="448" customFormat="1" ht="12.75">
      <c r="E432" s="464"/>
      <c r="F432" s="465"/>
    </row>
    <row r="433" spans="5:6" s="448" customFormat="1" ht="12.75">
      <c r="E433" s="464"/>
      <c r="F433" s="465"/>
    </row>
    <row r="434" spans="5:6" s="448" customFormat="1" ht="12.75">
      <c r="E434" s="464"/>
      <c r="F434" s="465"/>
    </row>
    <row r="435" spans="5:6" s="448" customFormat="1" ht="12.75">
      <c r="E435" s="464"/>
      <c r="F435" s="465"/>
    </row>
    <row r="436" spans="5:6" s="448" customFormat="1" ht="12.75">
      <c r="E436" s="464"/>
      <c r="F436" s="465"/>
    </row>
    <row r="437" spans="5:6" s="448" customFormat="1" ht="12.75">
      <c r="E437" s="464"/>
      <c r="F437" s="465"/>
    </row>
    <row r="438" spans="5:6" s="448" customFormat="1" ht="12.75">
      <c r="E438" s="464"/>
      <c r="F438" s="465"/>
    </row>
    <row r="439" spans="5:6" s="448" customFormat="1" ht="12.75">
      <c r="E439" s="464"/>
      <c r="F439" s="465"/>
    </row>
    <row r="440" spans="5:6" s="448" customFormat="1" ht="12.75">
      <c r="E440" s="464"/>
      <c r="F440" s="465"/>
    </row>
    <row r="441" spans="5:6" s="448" customFormat="1" ht="12.75">
      <c r="E441" s="464"/>
      <c r="F441" s="465"/>
    </row>
    <row r="442" spans="5:6" s="448" customFormat="1" ht="12.75">
      <c r="E442" s="464"/>
      <c r="F442" s="465"/>
    </row>
    <row r="443" spans="5:6" s="448" customFormat="1" ht="12.75">
      <c r="E443" s="464"/>
      <c r="F443" s="465"/>
    </row>
    <row r="444" spans="5:6" s="448" customFormat="1" ht="12.75">
      <c r="E444" s="464"/>
      <c r="F444" s="465"/>
    </row>
    <row r="445" spans="5:6" s="448" customFormat="1" ht="12.75">
      <c r="E445" s="464"/>
      <c r="F445" s="465"/>
    </row>
    <row r="446" spans="5:6" s="448" customFormat="1" ht="12.75">
      <c r="E446" s="464"/>
      <c r="F446" s="465"/>
    </row>
    <row r="447" spans="5:6" s="448" customFormat="1" ht="12.75">
      <c r="E447" s="464"/>
      <c r="F447" s="465"/>
    </row>
    <row r="448" spans="5:6" s="448" customFormat="1" ht="12.75">
      <c r="E448" s="464"/>
      <c r="F448" s="465"/>
    </row>
    <row r="449" spans="5:6" s="448" customFormat="1" ht="12.75">
      <c r="E449" s="464"/>
      <c r="F449" s="465"/>
    </row>
    <row r="450" spans="5:6" s="448" customFormat="1" ht="12.75">
      <c r="E450" s="464"/>
      <c r="F450" s="465"/>
    </row>
    <row r="451" spans="5:6" s="448" customFormat="1" ht="12.75">
      <c r="E451" s="464"/>
      <c r="F451" s="465"/>
    </row>
    <row r="452" spans="5:6" s="448" customFormat="1" ht="12.75">
      <c r="E452" s="464"/>
      <c r="F452" s="465"/>
    </row>
    <row r="453" spans="5:6" s="448" customFormat="1" ht="12.75">
      <c r="E453" s="464"/>
      <c r="F453" s="465"/>
    </row>
    <row r="454" spans="5:6" s="448" customFormat="1" ht="12.75">
      <c r="E454" s="464"/>
      <c r="F454" s="465"/>
    </row>
    <row r="455" spans="5:6" s="448" customFormat="1" ht="12.75">
      <c r="E455" s="464"/>
      <c r="F455" s="465"/>
    </row>
    <row r="456" spans="5:6" s="448" customFormat="1" ht="12.75">
      <c r="E456" s="464"/>
      <c r="F456" s="465"/>
    </row>
    <row r="457" spans="5:6" s="448" customFormat="1" ht="12.75">
      <c r="E457" s="464"/>
      <c r="F457" s="465"/>
    </row>
    <row r="458" spans="5:6" s="448" customFormat="1" ht="12.75">
      <c r="E458" s="464"/>
      <c r="F458" s="465"/>
    </row>
    <row r="459" spans="5:6" s="448" customFormat="1" ht="12.75">
      <c r="E459" s="464"/>
      <c r="F459" s="465"/>
    </row>
    <row r="460" spans="5:6" s="448" customFormat="1" ht="12.75">
      <c r="E460" s="464"/>
      <c r="F460" s="465"/>
    </row>
    <row r="461" spans="5:6" s="448" customFormat="1" ht="12.75">
      <c r="E461" s="464"/>
      <c r="F461" s="465"/>
    </row>
    <row r="462" spans="5:6" s="448" customFormat="1" ht="12.75">
      <c r="E462" s="464"/>
      <c r="F462" s="465"/>
    </row>
    <row r="463" spans="5:6" s="448" customFormat="1" ht="12.75">
      <c r="E463" s="464"/>
      <c r="F463" s="465"/>
    </row>
    <row r="464" spans="5:6" s="448" customFormat="1" ht="12.75">
      <c r="E464" s="464"/>
      <c r="F464" s="465"/>
    </row>
    <row r="465" spans="5:6" s="448" customFormat="1" ht="12.75">
      <c r="E465" s="464"/>
      <c r="F465" s="465"/>
    </row>
    <row r="466" spans="5:6" s="448" customFormat="1" ht="12.75">
      <c r="E466" s="464"/>
      <c r="F466" s="465"/>
    </row>
    <row r="467" spans="5:6" s="448" customFormat="1" ht="12.75">
      <c r="E467" s="464"/>
      <c r="F467" s="465"/>
    </row>
    <row r="468" spans="5:6" s="448" customFormat="1" ht="12.75">
      <c r="E468" s="464"/>
      <c r="F468" s="465"/>
    </row>
    <row r="469" spans="5:6" s="448" customFormat="1" ht="12.75">
      <c r="E469" s="464"/>
      <c r="F469" s="465"/>
    </row>
    <row r="470" spans="5:6" s="448" customFormat="1" ht="12.75">
      <c r="E470" s="464"/>
      <c r="F470" s="465"/>
    </row>
    <row r="471" spans="5:6" s="448" customFormat="1" ht="12.75">
      <c r="E471" s="464"/>
      <c r="F471" s="465"/>
    </row>
    <row r="472" spans="5:6" s="448" customFormat="1" ht="12.75">
      <c r="E472" s="464"/>
      <c r="F472" s="465"/>
    </row>
    <row r="473" spans="5:6" s="448" customFormat="1" ht="12.75">
      <c r="E473" s="464"/>
      <c r="F473" s="465"/>
    </row>
    <row r="474" spans="5:6" s="448" customFormat="1" ht="12.75">
      <c r="E474" s="464"/>
      <c r="F474" s="465"/>
    </row>
    <row r="475" spans="5:6" s="448" customFormat="1" ht="12.75">
      <c r="E475" s="464"/>
      <c r="F475" s="465"/>
    </row>
    <row r="476" spans="5:6" s="448" customFormat="1" ht="12.75">
      <c r="E476" s="464"/>
      <c r="F476" s="465"/>
    </row>
    <row r="477" spans="5:6" s="448" customFormat="1" ht="12.75">
      <c r="E477" s="464"/>
      <c r="F477" s="465"/>
    </row>
    <row r="478" spans="5:6" s="448" customFormat="1" ht="12.75">
      <c r="E478" s="464"/>
      <c r="F478" s="465"/>
    </row>
    <row r="479" spans="5:6" s="448" customFormat="1" ht="12.75">
      <c r="E479" s="464"/>
      <c r="F479" s="465"/>
    </row>
    <row r="480" spans="5:6" s="448" customFormat="1" ht="12.75">
      <c r="E480" s="464"/>
      <c r="F480" s="465"/>
    </row>
    <row r="481" spans="5:6" s="448" customFormat="1" ht="12.75">
      <c r="E481" s="464"/>
      <c r="F481" s="465"/>
    </row>
    <row r="482" spans="5:6" s="448" customFormat="1" ht="12.75">
      <c r="E482" s="464"/>
      <c r="F482" s="465"/>
    </row>
    <row r="483" spans="5:6" s="448" customFormat="1" ht="12.75">
      <c r="E483" s="464"/>
      <c r="F483" s="465"/>
    </row>
    <row r="484" spans="5:6" s="448" customFormat="1" ht="12.75">
      <c r="E484" s="464"/>
      <c r="F484" s="465"/>
    </row>
    <row r="485" spans="5:6" s="448" customFormat="1" ht="12.75">
      <c r="E485" s="464"/>
      <c r="F485" s="465"/>
    </row>
    <row r="486" spans="5:6" s="448" customFormat="1" ht="12.75">
      <c r="E486" s="464"/>
      <c r="F486" s="465"/>
    </row>
    <row r="487" spans="5:6" s="448" customFormat="1" ht="12.75">
      <c r="E487" s="464"/>
      <c r="F487" s="465"/>
    </row>
    <row r="488" spans="5:6" s="448" customFormat="1" ht="12.75">
      <c r="E488" s="464"/>
      <c r="F488" s="465"/>
    </row>
    <row r="489" spans="5:6" s="448" customFormat="1" ht="12.75">
      <c r="E489" s="464"/>
      <c r="F489" s="465"/>
    </row>
    <row r="490" spans="5:6" s="448" customFormat="1" ht="12.75">
      <c r="E490" s="464"/>
      <c r="F490" s="465"/>
    </row>
    <row r="491" spans="5:6" s="448" customFormat="1" ht="12.75">
      <c r="E491" s="464"/>
      <c r="F491" s="465"/>
    </row>
    <row r="492" spans="5:6" s="448" customFormat="1" ht="12.75">
      <c r="E492" s="464"/>
      <c r="F492" s="465"/>
    </row>
    <row r="493" spans="5:6" s="448" customFormat="1" ht="12.75">
      <c r="E493" s="464"/>
      <c r="F493" s="465"/>
    </row>
    <row r="494" spans="5:6" s="448" customFormat="1" ht="12.75">
      <c r="E494" s="464"/>
      <c r="F494" s="465"/>
    </row>
    <row r="495" spans="5:6" s="448" customFormat="1" ht="12.75">
      <c r="E495" s="464"/>
      <c r="F495" s="465"/>
    </row>
    <row r="496" spans="5:6" s="448" customFormat="1" ht="12.75">
      <c r="E496" s="464"/>
      <c r="F496" s="465"/>
    </row>
    <row r="497" spans="5:6" s="448" customFormat="1" ht="12.75">
      <c r="E497" s="464"/>
      <c r="F497" s="465"/>
    </row>
    <row r="498" spans="5:6" s="448" customFormat="1" ht="12.75">
      <c r="E498" s="464"/>
      <c r="F498" s="465"/>
    </row>
    <row r="499" spans="5:6" s="448" customFormat="1" ht="12.75">
      <c r="E499" s="464"/>
      <c r="F499" s="465"/>
    </row>
    <row r="500" spans="5:6" s="448" customFormat="1" ht="12.75">
      <c r="E500" s="464"/>
      <c r="F500" s="465"/>
    </row>
    <row r="501" spans="5:6" s="448" customFormat="1" ht="12.75">
      <c r="E501" s="464"/>
      <c r="F501" s="465"/>
    </row>
    <row r="502" spans="5:6" s="448" customFormat="1" ht="12.75">
      <c r="E502" s="464"/>
      <c r="F502" s="465"/>
    </row>
    <row r="503" spans="5:6" s="448" customFormat="1" ht="12.75">
      <c r="E503" s="464"/>
      <c r="F503" s="465"/>
    </row>
    <row r="504" spans="5:6" s="448" customFormat="1" ht="12.75">
      <c r="E504" s="464"/>
      <c r="F504" s="465"/>
    </row>
    <row r="505" spans="5:6" s="448" customFormat="1" ht="12.75">
      <c r="E505" s="464"/>
      <c r="F505" s="465"/>
    </row>
    <row r="506" spans="5:6" s="448" customFormat="1" ht="12.75">
      <c r="E506" s="464"/>
      <c r="F506" s="465"/>
    </row>
    <row r="507" spans="5:6" s="448" customFormat="1" ht="12.75">
      <c r="E507" s="464"/>
      <c r="F507" s="465"/>
    </row>
    <row r="508" spans="5:6" s="448" customFormat="1" ht="12.75">
      <c r="E508" s="464"/>
      <c r="F508" s="465"/>
    </row>
    <row r="509" spans="5:6" s="448" customFormat="1" ht="12.75">
      <c r="E509" s="464"/>
      <c r="F509" s="465"/>
    </row>
    <row r="510" spans="5:6" s="448" customFormat="1" ht="12.75">
      <c r="E510" s="464"/>
      <c r="F510" s="465"/>
    </row>
    <row r="511" spans="5:6" s="448" customFormat="1" ht="12.75">
      <c r="E511" s="464"/>
      <c r="F511" s="465"/>
    </row>
    <row r="512" spans="5:6" s="448" customFormat="1" ht="12.75">
      <c r="E512" s="464"/>
      <c r="F512" s="465"/>
    </row>
    <row r="513" spans="5:6" s="448" customFormat="1" ht="12.75">
      <c r="E513" s="464"/>
      <c r="F513" s="465"/>
    </row>
    <row r="514" spans="5:6" s="448" customFormat="1" ht="12.75">
      <c r="E514" s="464"/>
      <c r="F514" s="465"/>
    </row>
    <row r="515" spans="5:6" s="448" customFormat="1" ht="12.75">
      <c r="E515" s="464"/>
      <c r="F515" s="465"/>
    </row>
    <row r="516" spans="5:6" s="448" customFormat="1" ht="12.75">
      <c r="E516" s="464"/>
      <c r="F516" s="465"/>
    </row>
    <row r="517" spans="5:6" s="448" customFormat="1" ht="12.75">
      <c r="E517" s="464"/>
      <c r="F517" s="465"/>
    </row>
    <row r="518" spans="5:6" s="448" customFormat="1" ht="12.75">
      <c r="E518" s="464"/>
      <c r="F518" s="465"/>
    </row>
    <row r="519" spans="5:6" s="448" customFormat="1" ht="12.75">
      <c r="E519" s="464"/>
      <c r="F519" s="465"/>
    </row>
    <row r="520" spans="5:6" s="448" customFormat="1" ht="12.75">
      <c r="E520" s="464"/>
      <c r="F520" s="465"/>
    </row>
    <row r="521" spans="5:6" s="448" customFormat="1" ht="12.75">
      <c r="E521" s="464"/>
      <c r="F521" s="465"/>
    </row>
    <row r="522" spans="5:6" s="448" customFormat="1" ht="12.75">
      <c r="E522" s="464"/>
      <c r="F522" s="465"/>
    </row>
    <row r="523" spans="5:6" s="448" customFormat="1" ht="12.75">
      <c r="E523" s="464"/>
      <c r="F523" s="465"/>
    </row>
    <row r="524" spans="5:6" s="448" customFormat="1" ht="12.75">
      <c r="E524" s="464"/>
      <c r="F524" s="465"/>
    </row>
    <row r="525" spans="5:6" s="448" customFormat="1" ht="12.75">
      <c r="E525" s="464"/>
      <c r="F525" s="465"/>
    </row>
    <row r="526" spans="5:6" s="448" customFormat="1" ht="12.75">
      <c r="E526" s="464"/>
      <c r="F526" s="465"/>
    </row>
    <row r="527" spans="5:6" s="448" customFormat="1" ht="12.75">
      <c r="E527" s="464"/>
      <c r="F527" s="465"/>
    </row>
    <row r="528" spans="5:6" s="448" customFormat="1" ht="12.75">
      <c r="E528" s="464"/>
      <c r="F528" s="465"/>
    </row>
    <row r="529" spans="5:6" s="448" customFormat="1" ht="12.75">
      <c r="E529" s="464"/>
      <c r="F529" s="465"/>
    </row>
    <row r="530" spans="5:6" s="448" customFormat="1" ht="12.75">
      <c r="E530" s="464"/>
      <c r="F530" s="465"/>
    </row>
    <row r="531" spans="5:6" s="448" customFormat="1" ht="12.75">
      <c r="E531" s="464"/>
      <c r="F531" s="465"/>
    </row>
    <row r="532" spans="5:6" s="448" customFormat="1" ht="12.75">
      <c r="E532" s="464"/>
      <c r="F532" s="465"/>
    </row>
    <row r="533" spans="5:6" s="448" customFormat="1" ht="12.75">
      <c r="E533" s="464"/>
      <c r="F533" s="465"/>
    </row>
    <row r="534" spans="5:6" s="448" customFormat="1" ht="12.75">
      <c r="E534" s="464"/>
      <c r="F534" s="465"/>
    </row>
    <row r="535" spans="5:6" s="448" customFormat="1" ht="12.75">
      <c r="E535" s="464"/>
      <c r="F535" s="465"/>
    </row>
    <row r="536" spans="5:6" s="448" customFormat="1" ht="12.75">
      <c r="E536" s="464"/>
      <c r="F536" s="465"/>
    </row>
    <row r="537" spans="5:6" s="448" customFormat="1" ht="12.75">
      <c r="E537" s="464"/>
      <c r="F537" s="465"/>
    </row>
    <row r="538" spans="5:6" s="448" customFormat="1" ht="12.75">
      <c r="E538" s="464"/>
      <c r="F538" s="465"/>
    </row>
    <row r="539" spans="5:6" s="448" customFormat="1" ht="12.75">
      <c r="E539" s="464"/>
      <c r="F539" s="465"/>
    </row>
    <row r="540" spans="5:6" s="448" customFormat="1" ht="12.75">
      <c r="E540" s="464"/>
      <c r="F540" s="465"/>
    </row>
    <row r="541" spans="5:6" s="448" customFormat="1" ht="12.75">
      <c r="E541" s="464"/>
      <c r="F541" s="465"/>
    </row>
    <row r="542" spans="5:6" s="448" customFormat="1" ht="12.75">
      <c r="E542" s="464"/>
      <c r="F542" s="465"/>
    </row>
    <row r="543" spans="5:6" s="448" customFormat="1" ht="12.75">
      <c r="E543" s="464"/>
      <c r="F543" s="465"/>
    </row>
    <row r="544" spans="5:6" s="448" customFormat="1" ht="12.75">
      <c r="E544" s="464"/>
      <c r="F544" s="465"/>
    </row>
    <row r="545" spans="5:6" s="448" customFormat="1" ht="12.75">
      <c r="E545" s="464"/>
      <c r="F545" s="465"/>
    </row>
    <row r="546" spans="2:6" s="448" customFormat="1" ht="12.75">
      <c r="B546" s="476"/>
      <c r="C546" s="476"/>
      <c r="D546" s="476"/>
      <c r="E546" s="477"/>
      <c r="F546" s="478"/>
    </row>
    <row r="547" spans="2:6" s="448" customFormat="1" ht="12.75">
      <c r="B547" s="476"/>
      <c r="C547" s="476"/>
      <c r="D547" s="476"/>
      <c r="E547" s="477"/>
      <c r="F547" s="47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74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2:L564"/>
  <sheetViews>
    <sheetView showGridLines="0" view="pageBreakPreview" zoomScaleSheetLayoutView="100" zoomScalePageLayoutView="0" workbookViewId="0" topLeftCell="A1">
      <selection activeCell="D71" sqref="D71"/>
    </sheetView>
  </sheetViews>
  <sheetFormatPr defaultColWidth="10.7109375" defaultRowHeight="12.75"/>
  <cols>
    <col min="1" max="1" width="6.140625" style="476" customWidth="1"/>
    <col min="2" max="2" width="54.28125" style="476" customWidth="1"/>
    <col min="3" max="3" width="18.140625" style="476" customWidth="1"/>
    <col min="4" max="4" width="17.421875" style="476" customWidth="1"/>
    <col min="5" max="5" width="18.140625" style="476" customWidth="1"/>
    <col min="6" max="6" width="2.421875" style="479" customWidth="1"/>
    <col min="7" max="8" width="14.140625" style="476" hidden="1" customWidth="1"/>
    <col min="9" max="10" width="0" style="476" hidden="1" customWidth="1"/>
    <col min="11" max="11" width="12.28125" style="476" hidden="1" customWidth="1"/>
    <col min="12" max="12" width="11.7109375" style="476" hidden="1" customWidth="1"/>
    <col min="13" max="13" width="0" style="476" hidden="1" customWidth="1"/>
    <col min="14" max="16384" width="10.7109375" style="476" customWidth="1"/>
  </cols>
  <sheetData>
    <row r="1" ht="27" customHeight="1"/>
    <row r="2" spans="2:6" s="448" customFormat="1" ht="49.5" customHeight="1">
      <c r="B2" s="1095" t="s">
        <v>131</v>
      </c>
      <c r="C2" s="1096"/>
      <c r="D2" s="1097"/>
      <c r="E2" s="447">
        <f>CPYG!E2</f>
        <v>2017</v>
      </c>
      <c r="F2" s="480"/>
    </row>
    <row r="3" spans="2:6" s="448" customFormat="1" ht="25.5" customHeight="1">
      <c r="B3" s="1103" t="str">
        <f>CPYG!B3</f>
        <v>ENTIDAD: SPET</v>
      </c>
      <c r="C3" s="1104"/>
      <c r="D3" s="1104"/>
      <c r="E3" s="447" t="s">
        <v>133</v>
      </c>
      <c r="F3" s="390"/>
    </row>
    <row r="4" spans="2:6" s="448" customFormat="1" ht="24.75" customHeight="1">
      <c r="B4" s="1102" t="s">
        <v>216</v>
      </c>
      <c r="C4" s="1102"/>
      <c r="D4" s="1102"/>
      <c r="E4" s="1102"/>
      <c r="F4" s="449"/>
    </row>
    <row r="5" spans="2:8" s="448" customFormat="1" ht="40.5" customHeight="1">
      <c r="B5" s="450" t="s">
        <v>431</v>
      </c>
      <c r="C5" s="229" t="s">
        <v>497</v>
      </c>
      <c r="D5" s="481" t="s">
        <v>505</v>
      </c>
      <c r="E5" s="481" t="s">
        <v>495</v>
      </c>
      <c r="F5" s="482"/>
      <c r="G5" s="971" t="s">
        <v>941</v>
      </c>
      <c r="H5" s="971" t="s">
        <v>942</v>
      </c>
    </row>
    <row r="6" spans="2:8" s="448" customFormat="1" ht="22.5" customHeight="1">
      <c r="B6" s="483" t="s">
        <v>172</v>
      </c>
      <c r="C6" s="527">
        <f>C7+C23+C27</f>
        <v>1040120.8599999989</v>
      </c>
      <c r="D6" s="527">
        <f>D7+D23+D27</f>
        <v>1032822.7200000003</v>
      </c>
      <c r="E6" s="527">
        <f>E7+E23+E27</f>
        <v>1028454.3200000026</v>
      </c>
      <c r="F6" s="455"/>
      <c r="G6" s="458">
        <f aca="true" t="shared" si="0" ref="G6:H9">+D6-C6</f>
        <v>-7298.139999998617</v>
      </c>
      <c r="H6" s="458">
        <f t="shared" si="0"/>
        <v>-4368.399999997695</v>
      </c>
    </row>
    <row r="7" spans="2:8" s="448" customFormat="1" ht="19.5" customHeight="1">
      <c r="B7" s="484" t="s">
        <v>173</v>
      </c>
      <c r="C7" s="563">
        <f>+C8+C11+C12+C15+C16+C19+C20+C21+C22</f>
        <v>895515.3499999989</v>
      </c>
      <c r="D7" s="563">
        <f>+D8+D11+D12+D15+D16+D19+D20+D21+D22</f>
        <v>895515.3500000003</v>
      </c>
      <c r="E7" s="563">
        <f>+E8+E11+E12+E15+E16+E19+E20+E21+E22</f>
        <v>895515.3500000027</v>
      </c>
      <c r="F7" s="474"/>
      <c r="G7" s="458">
        <f t="shared" si="0"/>
        <v>1.3969838619232178E-09</v>
      </c>
      <c r="H7" s="458">
        <f t="shared" si="0"/>
        <v>2.3283064365386963E-09</v>
      </c>
    </row>
    <row r="8" spans="2:8" s="448" customFormat="1" ht="19.5" customHeight="1">
      <c r="B8" s="484" t="s">
        <v>174</v>
      </c>
      <c r="C8" s="564">
        <f>SUM(C9:C10)</f>
        <v>691163.8</v>
      </c>
      <c r="D8" s="564">
        <f>SUM(D9:D10)</f>
        <v>691163.8</v>
      </c>
      <c r="E8" s="564">
        <f>SUM(E9:E10)</f>
        <v>691163.8</v>
      </c>
      <c r="F8" s="467"/>
      <c r="G8" s="458">
        <f t="shared" si="0"/>
        <v>0</v>
      </c>
      <c r="H8" s="458">
        <f t="shared" si="0"/>
        <v>0</v>
      </c>
    </row>
    <row r="9" spans="2:8" s="448" customFormat="1" ht="19.5" customHeight="1">
      <c r="B9" s="485" t="s">
        <v>36</v>
      </c>
      <c r="C9" s="559">
        <v>691163.8</v>
      </c>
      <c r="D9" s="559">
        <v>691163.8</v>
      </c>
      <c r="E9" s="559">
        <v>691163.8</v>
      </c>
      <c r="F9" s="467"/>
      <c r="G9" s="458">
        <f t="shared" si="0"/>
        <v>0</v>
      </c>
      <c r="H9" s="458">
        <f t="shared" si="0"/>
        <v>0</v>
      </c>
    </row>
    <row r="10" spans="2:6" s="448" customFormat="1" ht="19.5" customHeight="1">
      <c r="B10" s="485" t="s">
        <v>37</v>
      </c>
      <c r="C10" s="559"/>
      <c r="D10" s="559"/>
      <c r="E10" s="559"/>
      <c r="F10" s="467"/>
    </row>
    <row r="11" spans="2:6" s="448" customFormat="1" ht="19.5" customHeight="1">
      <c r="B11" s="484" t="s">
        <v>134</v>
      </c>
      <c r="C11" s="559"/>
      <c r="D11" s="559"/>
      <c r="E11" s="559"/>
      <c r="F11" s="467"/>
    </row>
    <row r="12" spans="2:8" s="448" customFormat="1" ht="19.5" customHeight="1">
      <c r="B12" s="484" t="s">
        <v>175</v>
      </c>
      <c r="C12" s="564">
        <f>SUM(C13:C14)</f>
        <v>199286.02</v>
      </c>
      <c r="D12" s="564">
        <f>SUM(D13:D14)</f>
        <v>204351.55</v>
      </c>
      <c r="E12" s="564">
        <f>SUM(E13:E14)</f>
        <v>204351.55</v>
      </c>
      <c r="F12" s="467"/>
      <c r="G12" s="458">
        <f>+D12-C12</f>
        <v>5065.529999999999</v>
      </c>
      <c r="H12" s="458">
        <f>+E12-D12</f>
        <v>0</v>
      </c>
    </row>
    <row r="13" spans="2:8" s="448" customFormat="1" ht="19.5" customHeight="1">
      <c r="B13" s="485" t="s">
        <v>38</v>
      </c>
      <c r="C13" s="559">
        <v>199286.02</v>
      </c>
      <c r="D13" s="559">
        <v>204351.55</v>
      </c>
      <c r="E13" s="559">
        <v>204351.55</v>
      </c>
      <c r="F13" s="467"/>
      <c r="G13" s="458">
        <f>+D13-C13</f>
        <v>5065.529999999999</v>
      </c>
      <c r="H13" s="458">
        <f>+E13-D13</f>
        <v>0</v>
      </c>
    </row>
    <row r="14" spans="2:6" s="448" customFormat="1" ht="19.5" customHeight="1">
      <c r="B14" s="485" t="s">
        <v>39</v>
      </c>
      <c r="C14" s="559"/>
      <c r="D14" s="559"/>
      <c r="E14" s="559"/>
      <c r="F14" s="467"/>
    </row>
    <row r="15" spans="2:6" s="448" customFormat="1" ht="19.5" customHeight="1">
      <c r="B15" s="484" t="s">
        <v>40</v>
      </c>
      <c r="C15" s="559"/>
      <c r="D15" s="559"/>
      <c r="E15" s="559"/>
      <c r="F15" s="467"/>
    </row>
    <row r="16" spans="2:6" s="448" customFormat="1" ht="19.5" customHeight="1">
      <c r="B16" s="484" t="s">
        <v>135</v>
      </c>
      <c r="C16" s="564">
        <f>SUM(C17:C18)</f>
        <v>0</v>
      </c>
      <c r="D16" s="564">
        <f>SUM(D17:D18)</f>
        <v>0</v>
      </c>
      <c r="E16" s="564">
        <f>SUM(E17:E18)</f>
        <v>0</v>
      </c>
      <c r="F16" s="467"/>
    </row>
    <row r="17" spans="2:6" s="448" customFormat="1" ht="19.5" customHeight="1">
      <c r="B17" s="485" t="s">
        <v>41</v>
      </c>
      <c r="C17" s="559"/>
      <c r="D17" s="559"/>
      <c r="E17" s="559"/>
      <c r="F17" s="467"/>
    </row>
    <row r="18" spans="2:6" s="448" customFormat="1" ht="19.5" customHeight="1">
      <c r="B18" s="485" t="s">
        <v>176</v>
      </c>
      <c r="C18" s="559">
        <v>0</v>
      </c>
      <c r="D18" s="560"/>
      <c r="E18" s="560"/>
      <c r="F18" s="467"/>
    </row>
    <row r="19" spans="2:8" s="448" customFormat="1" ht="19.5" customHeight="1">
      <c r="B19" s="484" t="s">
        <v>44</v>
      </c>
      <c r="C19" s="560">
        <v>1903196.01</v>
      </c>
      <c r="D19" s="560">
        <v>1903196.01</v>
      </c>
      <c r="E19" s="560">
        <v>2056196.01</v>
      </c>
      <c r="F19" s="467"/>
      <c r="G19" s="458">
        <f>+D19-C19</f>
        <v>0</v>
      </c>
      <c r="H19" s="458">
        <f>+E19-D19</f>
        <v>153000</v>
      </c>
    </row>
    <row r="20" spans="2:8" s="448" customFormat="1" ht="19.5" customHeight="1">
      <c r="B20" s="484" t="s">
        <v>45</v>
      </c>
      <c r="C20" s="561">
        <f>CPYG!C94</f>
        <v>-1898130.4800000011</v>
      </c>
      <c r="D20" s="561">
        <f>CPYG!D94</f>
        <v>-1903196.01</v>
      </c>
      <c r="E20" s="561">
        <f>CPYG!E94</f>
        <v>-2056196.0099999977</v>
      </c>
      <c r="F20" s="486"/>
      <c r="G20" s="458">
        <f>+D20-C20</f>
        <v>-5065.529999998864</v>
      </c>
      <c r="H20" s="458">
        <f>+E20-D20</f>
        <v>-152999.99999999767</v>
      </c>
    </row>
    <row r="21" spans="2:6" s="448" customFormat="1" ht="19.5" customHeight="1">
      <c r="B21" s="484" t="s">
        <v>46</v>
      </c>
      <c r="C21" s="559"/>
      <c r="D21" s="559"/>
      <c r="E21" s="559"/>
      <c r="F21" s="467"/>
    </row>
    <row r="22" spans="2:6" s="448" customFormat="1" ht="19.5" customHeight="1">
      <c r="B22" s="484" t="s">
        <v>47</v>
      </c>
      <c r="C22" s="559"/>
      <c r="D22" s="559"/>
      <c r="E22" s="559"/>
      <c r="F22" s="467"/>
    </row>
    <row r="23" spans="2:6" s="448" customFormat="1" ht="19.5" customHeight="1">
      <c r="B23" s="484" t="s">
        <v>48</v>
      </c>
      <c r="C23" s="563">
        <f>SUM(C24:C26)</f>
        <v>0</v>
      </c>
      <c r="D23" s="563">
        <f>SUM(D24:D26)</f>
        <v>0</v>
      </c>
      <c r="E23" s="563">
        <f>SUM(E24:E26)</f>
        <v>0</v>
      </c>
      <c r="F23" s="474"/>
    </row>
    <row r="24" spans="2:6" s="448" customFormat="1" ht="19.5" customHeight="1">
      <c r="B24" s="484" t="s">
        <v>49</v>
      </c>
      <c r="C24" s="559"/>
      <c r="D24" s="559"/>
      <c r="E24" s="559"/>
      <c r="F24" s="467"/>
    </row>
    <row r="25" spans="2:6" s="448" customFormat="1" ht="19.5" customHeight="1">
      <c r="B25" s="484" t="s">
        <v>50</v>
      </c>
      <c r="C25" s="559"/>
      <c r="D25" s="559"/>
      <c r="E25" s="559"/>
      <c r="F25" s="467"/>
    </row>
    <row r="26" spans="2:6" s="448" customFormat="1" ht="19.5" customHeight="1">
      <c r="B26" s="484" t="s">
        <v>51</v>
      </c>
      <c r="C26" s="559"/>
      <c r="D26" s="560"/>
      <c r="E26" s="560"/>
      <c r="F26" s="467"/>
    </row>
    <row r="27" spans="1:8" s="448" customFormat="1" ht="19.5" customHeight="1">
      <c r="A27" s="459"/>
      <c r="B27" s="484" t="s">
        <v>52</v>
      </c>
      <c r="C27" s="559">
        <v>144605.51</v>
      </c>
      <c r="D27" s="560">
        <v>137307.37</v>
      </c>
      <c r="E27" s="560">
        <f>+D27-4368.4</f>
        <v>132938.97</v>
      </c>
      <c r="F27" s="467"/>
      <c r="G27" s="458">
        <f>+D27-C27</f>
        <v>-7298.140000000014</v>
      </c>
      <c r="H27" s="458">
        <f>+E27-D27</f>
        <v>-4368.399999999994</v>
      </c>
    </row>
    <row r="28" spans="2:11" s="448" customFormat="1" ht="19.5" customHeight="1">
      <c r="B28" s="483" t="s">
        <v>177</v>
      </c>
      <c r="C28" s="563">
        <f>C29+C33+C38+C39+C40+C41+C4+C42</f>
        <v>3334737.87</v>
      </c>
      <c r="D28" s="563">
        <f>D29+D33+D38+D39+D40+D41+D4+D42</f>
        <v>100630.25</v>
      </c>
      <c r="E28" s="563">
        <f>E29+E33+E38+E39+E40+E41+E4+E42</f>
        <v>75405.82</v>
      </c>
      <c r="F28" s="474"/>
      <c r="G28" s="458">
        <f>+D28-C28</f>
        <v>-3234107.62</v>
      </c>
      <c r="H28" s="458">
        <f>+E28-D28</f>
        <v>-25224.429999999993</v>
      </c>
      <c r="K28" s="458">
        <f>+H28+H43</f>
        <v>-3716212.47</v>
      </c>
    </row>
    <row r="29" spans="2:6" s="448" customFormat="1" ht="19.5" customHeight="1">
      <c r="B29" s="454" t="s">
        <v>53</v>
      </c>
      <c r="C29" s="565">
        <f>SUM(C30:C32)</f>
        <v>0</v>
      </c>
      <c r="D29" s="565">
        <f>SUM(D30:D32)</f>
        <v>0</v>
      </c>
      <c r="E29" s="565">
        <f>SUM(E30:E32)</f>
        <v>0</v>
      </c>
      <c r="F29" s="467"/>
    </row>
    <row r="30" spans="2:6" s="448" customFormat="1" ht="19.5" customHeight="1">
      <c r="B30" s="457" t="s">
        <v>434</v>
      </c>
      <c r="C30" s="560"/>
      <c r="D30" s="560"/>
      <c r="E30" s="560"/>
      <c r="F30" s="467"/>
    </row>
    <row r="31" spans="2:6" s="448" customFormat="1" ht="28.5" customHeight="1">
      <c r="B31" s="487" t="s">
        <v>435</v>
      </c>
      <c r="C31" s="560"/>
      <c r="D31" s="560"/>
      <c r="E31" s="560"/>
      <c r="F31" s="467"/>
    </row>
    <row r="32" spans="2:6" s="448" customFormat="1" ht="19.5" customHeight="1">
      <c r="B32" s="457" t="s">
        <v>436</v>
      </c>
      <c r="C32" s="562"/>
      <c r="D32" s="562"/>
      <c r="E32" s="562"/>
      <c r="F32" s="474"/>
    </row>
    <row r="33" spans="2:8" s="448" customFormat="1" ht="19.5" customHeight="1">
      <c r="B33" s="454" t="s">
        <v>54</v>
      </c>
      <c r="C33" s="565">
        <f>SUM(C34:C37)</f>
        <v>3268570.94</v>
      </c>
      <c r="D33" s="565">
        <f>SUM(D34:D37)</f>
        <v>35922.19</v>
      </c>
      <c r="E33" s="565">
        <f>SUM(E34:E37)</f>
        <v>12153.89</v>
      </c>
      <c r="F33" s="467"/>
      <c r="G33" s="458">
        <f>+D33-C33</f>
        <v>-3232648.75</v>
      </c>
      <c r="H33" s="458">
        <f>+E33-D33</f>
        <v>-23768.300000000003</v>
      </c>
    </row>
    <row r="34" spans="2:6" s="448" customFormat="1" ht="19.5" customHeight="1">
      <c r="B34" s="457" t="s">
        <v>56</v>
      </c>
      <c r="C34" s="562"/>
      <c r="D34" s="562"/>
      <c r="E34" s="562"/>
      <c r="F34" s="474"/>
    </row>
    <row r="35" spans="2:11" s="448" customFormat="1" ht="19.5" customHeight="1">
      <c r="B35" s="457" t="s">
        <v>67</v>
      </c>
      <c r="C35" s="560">
        <v>58988.89</v>
      </c>
      <c r="D35" s="560">
        <v>35922.19</v>
      </c>
      <c r="E35" s="560">
        <v>12153.89</v>
      </c>
      <c r="F35" s="467"/>
      <c r="G35" s="458">
        <f>+D35-C35</f>
        <v>-23066.699999999997</v>
      </c>
      <c r="H35" s="458">
        <f>+E35-D35</f>
        <v>-23768.300000000003</v>
      </c>
      <c r="J35" s="458">
        <f>+C35-D35</f>
        <v>23066.699999999997</v>
      </c>
      <c r="K35" s="458">
        <f>+D35-E35</f>
        <v>23768.300000000003</v>
      </c>
    </row>
    <row r="36" spans="2:6" s="448" customFormat="1" ht="19.5" customHeight="1">
      <c r="B36" s="457" t="s">
        <v>57</v>
      </c>
      <c r="C36" s="560"/>
      <c r="D36" s="560"/>
      <c r="E36" s="560"/>
      <c r="F36" s="467"/>
    </row>
    <row r="37" spans="2:6" s="448" customFormat="1" ht="19.5" customHeight="1">
      <c r="B37" s="457" t="s">
        <v>437</v>
      </c>
      <c r="C37" s="560">
        <v>3209582.05</v>
      </c>
      <c r="D37" s="560">
        <v>0</v>
      </c>
      <c r="E37" s="560">
        <v>0</v>
      </c>
      <c r="F37" s="467"/>
    </row>
    <row r="38" spans="2:6" s="448" customFormat="1" ht="19.5" customHeight="1">
      <c r="B38" s="454" t="s">
        <v>58</v>
      </c>
      <c r="C38" s="562"/>
      <c r="D38" s="562"/>
      <c r="E38" s="562"/>
      <c r="F38" s="467"/>
    </row>
    <row r="39" spans="1:8" s="448" customFormat="1" ht="19.5" customHeight="1">
      <c r="A39" s="459"/>
      <c r="B39" s="454" t="s">
        <v>59</v>
      </c>
      <c r="C39" s="562">
        <v>66166.93</v>
      </c>
      <c r="D39" s="562">
        <v>64708.06</v>
      </c>
      <c r="E39" s="562">
        <f>+D39-1456.13</f>
        <v>63251.93</v>
      </c>
      <c r="F39" s="467"/>
      <c r="G39" s="458">
        <f>+D39-C39</f>
        <v>-1458.8699999999953</v>
      </c>
      <c r="H39" s="458">
        <f>+E39-D39</f>
        <v>-1456.1299999999974</v>
      </c>
    </row>
    <row r="40" spans="2:6" s="448" customFormat="1" ht="19.5" customHeight="1">
      <c r="B40" s="454" t="s">
        <v>60</v>
      </c>
      <c r="C40" s="562"/>
      <c r="D40" s="562"/>
      <c r="E40" s="562"/>
      <c r="F40" s="474"/>
    </row>
    <row r="41" spans="2:12" s="448" customFormat="1" ht="19.5" customHeight="1">
      <c r="B41" s="454" t="s">
        <v>438</v>
      </c>
      <c r="C41" s="562"/>
      <c r="D41" s="562"/>
      <c r="E41" s="562"/>
      <c r="F41" s="474"/>
      <c r="L41" s="458">
        <f>+C33-D33</f>
        <v>3232648.75</v>
      </c>
    </row>
    <row r="42" spans="2:12" s="448" customFormat="1" ht="19.5" customHeight="1">
      <c r="B42" s="454" t="s">
        <v>439</v>
      </c>
      <c r="C42" s="562"/>
      <c r="D42" s="562"/>
      <c r="E42" s="562"/>
      <c r="F42" s="474"/>
      <c r="K42" s="458"/>
      <c r="L42" s="458">
        <f>+C35-D35</f>
        <v>23066.699999999997</v>
      </c>
    </row>
    <row r="43" spans="2:8" s="448" customFormat="1" ht="19.5" customHeight="1">
      <c r="B43" s="483" t="s">
        <v>129</v>
      </c>
      <c r="C43" s="565">
        <f>+C44+C45+C49+C54+C55+C58+C59</f>
        <v>7440562.74</v>
      </c>
      <c r="D43" s="565">
        <f>+D44+D45+D49+D54+D55+D58+D59</f>
        <v>5716214.7</v>
      </c>
      <c r="E43" s="565">
        <f>+E44+E45+E49+E54+E55+E58+E59</f>
        <v>2025226.6600000001</v>
      </c>
      <c r="F43" s="474"/>
      <c r="G43" s="458">
        <f>+D43-C43</f>
        <v>-1724348.04</v>
      </c>
      <c r="H43" s="458">
        <f>+E43-D43</f>
        <v>-3690988.04</v>
      </c>
    </row>
    <row r="44" spans="2:6" s="448" customFormat="1" ht="30" customHeight="1">
      <c r="B44" s="488" t="s">
        <v>64</v>
      </c>
      <c r="C44" s="562"/>
      <c r="D44" s="562"/>
      <c r="E44" s="562"/>
      <c r="F44" s="474"/>
    </row>
    <row r="45" spans="2:6" s="448" customFormat="1" ht="19.5" customHeight="1">
      <c r="B45" s="454" t="s">
        <v>65</v>
      </c>
      <c r="C45" s="565">
        <f>+C46+C47+C48</f>
        <v>0</v>
      </c>
      <c r="D45" s="565">
        <f>+D46+D47+D48</f>
        <v>0</v>
      </c>
      <c r="E45" s="565">
        <f>+E46+E47+E48</f>
        <v>0</v>
      </c>
      <c r="F45" s="474"/>
    </row>
    <row r="46" spans="2:6" s="448" customFormat="1" ht="19.5" customHeight="1">
      <c r="B46" s="457" t="s">
        <v>434</v>
      </c>
      <c r="C46" s="562"/>
      <c r="D46" s="562"/>
      <c r="E46" s="562"/>
      <c r="F46" s="474"/>
    </row>
    <row r="47" spans="2:6" s="448" customFormat="1" ht="28.5" customHeight="1">
      <c r="B47" s="487" t="s">
        <v>435</v>
      </c>
      <c r="C47" s="562"/>
      <c r="D47" s="562"/>
      <c r="E47" s="562"/>
      <c r="F47" s="474"/>
    </row>
    <row r="48" spans="2:6" s="448" customFormat="1" ht="19.5" customHeight="1">
      <c r="B48" s="457" t="s">
        <v>436</v>
      </c>
      <c r="C48" s="562"/>
      <c r="D48" s="562"/>
      <c r="E48" s="562"/>
      <c r="F48" s="474"/>
    </row>
    <row r="49" spans="2:8" s="448" customFormat="1" ht="19.5" customHeight="1">
      <c r="B49" s="454" t="s">
        <v>66</v>
      </c>
      <c r="C49" s="565">
        <f>SUM(C50:C53)</f>
        <v>3384398.43</v>
      </c>
      <c r="D49" s="565">
        <f>SUM(D50:D53)</f>
        <v>3231066.7</v>
      </c>
      <c r="E49" s="565">
        <f>SUM(E50:E53)</f>
        <v>23768.3</v>
      </c>
      <c r="F49" s="467"/>
      <c r="G49" s="458">
        <f>+D49-C49</f>
        <v>-153331.72999999998</v>
      </c>
      <c r="H49" s="458">
        <f>+E49-D49</f>
        <v>-3207298.4000000004</v>
      </c>
    </row>
    <row r="50" spans="2:6" s="448" customFormat="1" ht="19.5" customHeight="1">
      <c r="B50" s="457" t="s">
        <v>56</v>
      </c>
      <c r="C50" s="560"/>
      <c r="D50" s="560"/>
      <c r="E50" s="560"/>
      <c r="F50" s="467"/>
    </row>
    <row r="51" spans="2:11" s="448" customFormat="1" ht="19.5" customHeight="1">
      <c r="B51" s="457" t="s">
        <v>67</v>
      </c>
      <c r="C51" s="560">
        <v>40549.96</v>
      </c>
      <c r="D51" s="560">
        <v>23066.7</v>
      </c>
      <c r="E51" s="560">
        <v>23768.3</v>
      </c>
      <c r="G51" s="458">
        <f>+D51-C51</f>
        <v>-17483.26</v>
      </c>
      <c r="H51" s="458">
        <f>+E51-D51</f>
        <v>701.5999999999985</v>
      </c>
      <c r="J51" s="458">
        <f>+C51-D51</f>
        <v>17483.26</v>
      </c>
      <c r="K51" s="458">
        <f>+D51-E51</f>
        <v>-701.5999999999985</v>
      </c>
    </row>
    <row r="52" spans="2:6" s="448" customFormat="1" ht="19.5" customHeight="1">
      <c r="B52" s="457" t="s">
        <v>57</v>
      </c>
      <c r="C52" s="562"/>
      <c r="D52" s="562"/>
      <c r="E52" s="562"/>
      <c r="F52" s="474"/>
    </row>
    <row r="53" spans="2:8" s="448" customFormat="1" ht="19.5" customHeight="1">
      <c r="B53" s="457" t="s">
        <v>440</v>
      </c>
      <c r="C53" s="562">
        <v>3343848.47</v>
      </c>
      <c r="D53" s="562">
        <v>3208000</v>
      </c>
      <c r="E53" s="562">
        <v>0</v>
      </c>
      <c r="F53" s="474"/>
      <c r="G53" s="458">
        <f>+D53-C53</f>
        <v>-135848.4700000002</v>
      </c>
      <c r="H53" s="458">
        <f>+E53-D53</f>
        <v>-3208000</v>
      </c>
    </row>
    <row r="54" spans="2:6" s="448" customFormat="1" ht="19.5" customHeight="1">
      <c r="B54" s="454" t="s">
        <v>68</v>
      </c>
      <c r="C54" s="562"/>
      <c r="D54" s="562"/>
      <c r="E54" s="562"/>
      <c r="F54" s="474"/>
    </row>
    <row r="55" spans="2:8" s="448" customFormat="1" ht="19.5" customHeight="1">
      <c r="B55" s="454" t="s">
        <v>69</v>
      </c>
      <c r="C55" s="565">
        <f>SUM(C56:C57)</f>
        <v>4056164.31</v>
      </c>
      <c r="D55" s="565">
        <f>SUM(D56:D57)</f>
        <v>2393148</v>
      </c>
      <c r="E55" s="565">
        <f>SUM(E56:E57)</f>
        <v>1926458.36</v>
      </c>
      <c r="F55" s="467"/>
      <c r="G55" s="458">
        <f>+D55-C55</f>
        <v>-1663016.31</v>
      </c>
      <c r="H55" s="458">
        <f>+E55-D55</f>
        <v>-466689.6399999999</v>
      </c>
    </row>
    <row r="56" spans="2:6" s="448" customFormat="1" ht="19.5" customHeight="1">
      <c r="B56" s="457" t="s">
        <v>70</v>
      </c>
      <c r="C56" s="560"/>
      <c r="D56" s="560"/>
      <c r="E56" s="560"/>
      <c r="F56" s="467"/>
    </row>
    <row r="57" spans="2:8" s="448" customFormat="1" ht="19.5" customHeight="1">
      <c r="B57" s="457" t="s">
        <v>441</v>
      </c>
      <c r="C57" s="560">
        <v>4056164.31</v>
      </c>
      <c r="D57" s="560">
        <f>2391256.79+1891.21</f>
        <v>2393148</v>
      </c>
      <c r="E57" s="560">
        <f>2058458.36-132000</f>
        <v>1926458.36</v>
      </c>
      <c r="F57" s="467"/>
      <c r="G57" s="458">
        <f>+D57-C57</f>
        <v>-1663016.31</v>
      </c>
      <c r="H57" s="458">
        <f>+E57-D57</f>
        <v>-466689.6399999999</v>
      </c>
    </row>
    <row r="58" spans="1:8" s="448" customFormat="1" ht="19.5" customHeight="1">
      <c r="A58" s="459"/>
      <c r="B58" s="454" t="s">
        <v>91</v>
      </c>
      <c r="C58" s="562"/>
      <c r="D58" s="562">
        <v>92000</v>
      </c>
      <c r="E58" s="562">
        <v>75000</v>
      </c>
      <c r="F58" s="474"/>
      <c r="G58" s="458">
        <f>+D58-C58</f>
        <v>92000</v>
      </c>
      <c r="H58" s="458">
        <f>+E58-D58</f>
        <v>-17000</v>
      </c>
    </row>
    <row r="59" spans="1:6" s="448" customFormat="1" ht="19.5" customHeight="1">
      <c r="A59" s="459"/>
      <c r="B59" s="454" t="s">
        <v>442</v>
      </c>
      <c r="C59" s="562"/>
      <c r="D59" s="562"/>
      <c r="E59" s="562"/>
      <c r="F59" s="474"/>
    </row>
    <row r="60" spans="2:8" s="448" customFormat="1" ht="30" customHeight="1">
      <c r="B60" s="460" t="s">
        <v>130</v>
      </c>
      <c r="C60" s="566">
        <f>C43+C28+C6</f>
        <v>11815421.469999999</v>
      </c>
      <c r="D60" s="566">
        <f>D43+D28+D6</f>
        <v>6849667.670000001</v>
      </c>
      <c r="E60" s="566">
        <f>E43+E28+E6</f>
        <v>3129086.8000000026</v>
      </c>
      <c r="F60" s="455"/>
      <c r="G60" s="458">
        <f>+D60-C60</f>
        <v>-4965753.799999998</v>
      </c>
      <c r="H60" s="458">
        <f>+E60-D60</f>
        <v>-3720580.8699999982</v>
      </c>
    </row>
    <row r="61" spans="3:6" s="448" customFormat="1" ht="12.75">
      <c r="C61" s="458"/>
      <c r="D61" s="458"/>
      <c r="E61" s="458"/>
      <c r="F61" s="489"/>
    </row>
    <row r="62" spans="3:6" s="448" customFormat="1" ht="12.75">
      <c r="C62" s="458"/>
      <c r="D62" s="458"/>
      <c r="E62" s="458"/>
      <c r="F62" s="489"/>
    </row>
    <row r="63" spans="2:6" s="448" customFormat="1" ht="12.75" hidden="1">
      <c r="B63" s="463" t="s">
        <v>71</v>
      </c>
      <c r="C63" s="458"/>
      <c r="D63" s="458"/>
      <c r="E63" s="458"/>
      <c r="F63" s="489"/>
    </row>
    <row r="64" s="448" customFormat="1" ht="12.75">
      <c r="F64" s="459"/>
    </row>
    <row r="65" spans="3:6" s="448" customFormat="1" ht="12.75">
      <c r="C65" s="458"/>
      <c r="D65" s="458"/>
      <c r="E65" s="458"/>
      <c r="F65" s="489"/>
    </row>
    <row r="66" spans="3:6" s="448" customFormat="1" ht="12.75" hidden="1">
      <c r="C66" s="458"/>
      <c r="D66" s="458"/>
      <c r="E66" s="458"/>
      <c r="F66" s="489"/>
    </row>
    <row r="67" spans="2:6" s="448" customFormat="1" ht="12.75" hidden="1">
      <c r="B67" s="448" t="s">
        <v>92</v>
      </c>
      <c r="C67" s="458">
        <f>+ACTIVO!C43</f>
        <v>11815421.47</v>
      </c>
      <c r="D67" s="458">
        <f>+ACTIVO!D43</f>
        <v>6849667.670000001</v>
      </c>
      <c r="E67" s="458">
        <f>+ACTIVO!E43</f>
        <v>3129086.8000000003</v>
      </c>
      <c r="F67" s="489"/>
    </row>
    <row r="68" spans="2:6" s="448" customFormat="1" ht="12.75" hidden="1">
      <c r="B68" s="459" t="s">
        <v>90</v>
      </c>
      <c r="C68" s="469">
        <f>+C60-C67</f>
        <v>0</v>
      </c>
      <c r="D68" s="469">
        <f>+D60-D67</f>
        <v>0</v>
      </c>
      <c r="E68" s="469">
        <f>+E60-E67</f>
        <v>0</v>
      </c>
      <c r="F68" s="467"/>
    </row>
    <row r="69" s="448" customFormat="1" ht="12.75" hidden="1">
      <c r="F69" s="459"/>
    </row>
    <row r="70" spans="5:6" s="448" customFormat="1" ht="12.75" hidden="1">
      <c r="E70" s="458"/>
      <c r="F70" s="489"/>
    </row>
    <row r="71" s="448" customFormat="1" ht="12.75">
      <c r="F71" s="459"/>
    </row>
    <row r="72" s="448" customFormat="1" ht="12.75">
      <c r="F72" s="459"/>
    </row>
    <row r="73" s="448" customFormat="1" ht="12.75">
      <c r="F73" s="459"/>
    </row>
    <row r="74" s="448" customFormat="1" ht="12.75">
      <c r="F74" s="459"/>
    </row>
    <row r="75" s="448" customFormat="1" ht="12.75">
      <c r="F75" s="459"/>
    </row>
    <row r="76" s="448" customFormat="1" ht="12.75">
      <c r="F76" s="459"/>
    </row>
    <row r="77" s="448" customFormat="1" ht="12.75">
      <c r="F77" s="459"/>
    </row>
    <row r="78" s="448" customFormat="1" ht="12.75">
      <c r="F78" s="459"/>
    </row>
    <row r="79" s="448" customFormat="1" ht="12.75">
      <c r="F79" s="459"/>
    </row>
    <row r="80" s="448" customFormat="1" ht="12.75">
      <c r="F80" s="459"/>
    </row>
    <row r="81" s="448" customFormat="1" ht="12.75">
      <c r="F81" s="459"/>
    </row>
    <row r="82" s="448" customFormat="1" ht="12.75">
      <c r="F82" s="459"/>
    </row>
    <row r="83" s="448" customFormat="1" ht="12.75">
      <c r="F83" s="459"/>
    </row>
    <row r="84" s="448" customFormat="1" ht="12.75">
      <c r="F84" s="459"/>
    </row>
    <row r="85" s="448" customFormat="1" ht="12.75">
      <c r="F85" s="459"/>
    </row>
    <row r="86" s="448" customFormat="1" ht="12.75">
      <c r="F86" s="459"/>
    </row>
    <row r="87" s="448" customFormat="1" ht="12.75">
      <c r="F87" s="459"/>
    </row>
    <row r="88" s="448" customFormat="1" ht="12.75">
      <c r="F88" s="459"/>
    </row>
    <row r="89" s="448" customFormat="1" ht="12.75">
      <c r="F89" s="459"/>
    </row>
    <row r="90" s="448" customFormat="1" ht="12.75">
      <c r="F90" s="459"/>
    </row>
    <row r="91" s="448" customFormat="1" ht="12.75">
      <c r="F91" s="459"/>
    </row>
    <row r="92" s="448" customFormat="1" ht="12.75">
      <c r="F92" s="459"/>
    </row>
    <row r="93" s="448" customFormat="1" ht="12.75">
      <c r="F93" s="459"/>
    </row>
    <row r="94" s="448" customFormat="1" ht="12.75">
      <c r="F94" s="459"/>
    </row>
    <row r="95" s="448" customFormat="1" ht="12.75">
      <c r="F95" s="459"/>
    </row>
    <row r="96" s="448" customFormat="1" ht="12.75">
      <c r="F96" s="459"/>
    </row>
    <row r="97" s="448" customFormat="1" ht="12.75">
      <c r="F97" s="459"/>
    </row>
    <row r="98" s="448" customFormat="1" ht="12.75">
      <c r="F98" s="459"/>
    </row>
    <row r="99" s="448" customFormat="1" ht="12.75">
      <c r="F99" s="459"/>
    </row>
    <row r="100" s="448" customFormat="1" ht="12.75">
      <c r="F100" s="459"/>
    </row>
    <row r="101" s="448" customFormat="1" ht="12.75">
      <c r="F101" s="459"/>
    </row>
    <row r="102" s="448" customFormat="1" ht="12.75">
      <c r="F102" s="459"/>
    </row>
    <row r="103" s="448" customFormat="1" ht="12.75">
      <c r="F103" s="459"/>
    </row>
    <row r="104" s="448" customFormat="1" ht="12.75">
      <c r="F104" s="459"/>
    </row>
    <row r="105" s="448" customFormat="1" ht="12.75">
      <c r="F105" s="459"/>
    </row>
    <row r="106" s="448" customFormat="1" ht="12.75">
      <c r="F106" s="459"/>
    </row>
    <row r="107" s="448" customFormat="1" ht="12.75">
      <c r="F107" s="459"/>
    </row>
    <row r="108" s="448" customFormat="1" ht="12.75">
      <c r="F108" s="459"/>
    </row>
    <row r="109" s="448" customFormat="1" ht="12.75">
      <c r="F109" s="459"/>
    </row>
    <row r="110" s="448" customFormat="1" ht="12.75">
      <c r="F110" s="459"/>
    </row>
    <row r="111" s="448" customFormat="1" ht="12.75">
      <c r="F111" s="459"/>
    </row>
    <row r="112" s="448" customFormat="1" ht="12.75">
      <c r="F112" s="459"/>
    </row>
    <row r="113" s="448" customFormat="1" ht="12.75">
      <c r="F113" s="459"/>
    </row>
    <row r="114" s="448" customFormat="1" ht="12.75">
      <c r="F114" s="459"/>
    </row>
    <row r="115" s="448" customFormat="1" ht="12.75">
      <c r="F115" s="459"/>
    </row>
    <row r="116" s="448" customFormat="1" ht="12.75">
      <c r="F116" s="459"/>
    </row>
    <row r="117" s="448" customFormat="1" ht="12.75">
      <c r="F117" s="459"/>
    </row>
    <row r="118" s="448" customFormat="1" ht="12.75">
      <c r="F118" s="459"/>
    </row>
    <row r="119" s="448" customFormat="1" ht="12.75">
      <c r="F119" s="459"/>
    </row>
    <row r="120" s="448" customFormat="1" ht="12.75">
      <c r="F120" s="459"/>
    </row>
    <row r="121" s="448" customFormat="1" ht="12.75">
      <c r="F121" s="459"/>
    </row>
    <row r="122" s="448" customFormat="1" ht="12.75">
      <c r="F122" s="459"/>
    </row>
    <row r="123" s="448" customFormat="1" ht="12.75">
      <c r="F123" s="459"/>
    </row>
    <row r="124" s="448" customFormat="1" ht="12.75">
      <c r="F124" s="459"/>
    </row>
    <row r="125" s="448" customFormat="1" ht="12.75">
      <c r="F125" s="459"/>
    </row>
    <row r="126" s="448" customFormat="1" ht="12.75">
      <c r="F126" s="459"/>
    </row>
    <row r="127" s="448" customFormat="1" ht="12.75">
      <c r="F127" s="459"/>
    </row>
    <row r="128" s="448" customFormat="1" ht="12.75">
      <c r="F128" s="459"/>
    </row>
    <row r="129" s="448" customFormat="1" ht="12.75">
      <c r="F129" s="459"/>
    </row>
    <row r="130" s="448" customFormat="1" ht="12.75">
      <c r="F130" s="459"/>
    </row>
    <row r="131" s="448" customFormat="1" ht="12.75">
      <c r="F131" s="459"/>
    </row>
    <row r="132" s="448" customFormat="1" ht="12.75">
      <c r="F132" s="459"/>
    </row>
    <row r="133" s="448" customFormat="1" ht="12.75">
      <c r="F133" s="459"/>
    </row>
    <row r="134" s="448" customFormat="1" ht="12.75">
      <c r="F134" s="459"/>
    </row>
    <row r="135" s="448" customFormat="1" ht="12.75">
      <c r="F135" s="459"/>
    </row>
    <row r="136" s="448" customFormat="1" ht="12.75">
      <c r="F136" s="459"/>
    </row>
    <row r="137" s="448" customFormat="1" ht="12.75">
      <c r="F137" s="459"/>
    </row>
    <row r="138" s="448" customFormat="1" ht="12.75">
      <c r="F138" s="459"/>
    </row>
    <row r="139" s="448" customFormat="1" ht="12.75">
      <c r="F139" s="459"/>
    </row>
    <row r="140" s="448" customFormat="1" ht="12.75">
      <c r="F140" s="459"/>
    </row>
    <row r="141" s="448" customFormat="1" ht="12.75">
      <c r="F141" s="459"/>
    </row>
    <row r="142" s="448" customFormat="1" ht="12.75">
      <c r="F142" s="459"/>
    </row>
    <row r="143" s="448" customFormat="1" ht="12.75">
      <c r="F143" s="459"/>
    </row>
    <row r="144" s="448" customFormat="1" ht="12.75">
      <c r="F144" s="459"/>
    </row>
    <row r="145" s="448" customFormat="1" ht="12.75">
      <c r="F145" s="459"/>
    </row>
    <row r="146" s="448" customFormat="1" ht="12.75">
      <c r="F146" s="459"/>
    </row>
    <row r="147" s="448" customFormat="1" ht="12.75">
      <c r="F147" s="459"/>
    </row>
    <row r="148" s="448" customFormat="1" ht="12.75">
      <c r="F148" s="459"/>
    </row>
    <row r="149" s="448" customFormat="1" ht="12.75">
      <c r="F149" s="459"/>
    </row>
    <row r="150" s="448" customFormat="1" ht="12.75">
      <c r="F150" s="459"/>
    </row>
    <row r="151" s="448" customFormat="1" ht="12.75">
      <c r="F151" s="459"/>
    </row>
    <row r="152" s="448" customFormat="1" ht="12.75">
      <c r="F152" s="459"/>
    </row>
    <row r="153" s="448" customFormat="1" ht="12.75">
      <c r="F153" s="459"/>
    </row>
    <row r="154" s="448" customFormat="1" ht="12.75">
      <c r="F154" s="459"/>
    </row>
    <row r="155" s="448" customFormat="1" ht="12.75">
      <c r="F155" s="459"/>
    </row>
    <row r="156" s="448" customFormat="1" ht="12.75">
      <c r="F156" s="459"/>
    </row>
    <row r="157" s="448" customFormat="1" ht="12.75">
      <c r="F157" s="459"/>
    </row>
    <row r="158" s="448" customFormat="1" ht="12.75">
      <c r="F158" s="459"/>
    </row>
    <row r="159" s="448" customFormat="1" ht="12.75">
      <c r="F159" s="459"/>
    </row>
    <row r="160" s="448" customFormat="1" ht="12.75">
      <c r="F160" s="459"/>
    </row>
    <row r="161" s="448" customFormat="1" ht="12.75">
      <c r="F161" s="459"/>
    </row>
    <row r="162" s="448" customFormat="1" ht="12.75">
      <c r="F162" s="459"/>
    </row>
    <row r="163" s="448" customFormat="1" ht="12.75">
      <c r="F163" s="459"/>
    </row>
    <row r="164" s="448" customFormat="1" ht="12.75">
      <c r="F164" s="459"/>
    </row>
    <row r="165" s="448" customFormat="1" ht="12.75">
      <c r="F165" s="459"/>
    </row>
    <row r="166" s="448" customFormat="1" ht="12.75">
      <c r="F166" s="459"/>
    </row>
    <row r="167" s="448" customFormat="1" ht="12.75">
      <c r="F167" s="459"/>
    </row>
    <row r="168" s="448" customFormat="1" ht="12.75">
      <c r="F168" s="459"/>
    </row>
    <row r="169" s="448" customFormat="1" ht="12.75">
      <c r="F169" s="459"/>
    </row>
    <row r="170" s="448" customFormat="1" ht="12.75">
      <c r="F170" s="459"/>
    </row>
    <row r="171" s="448" customFormat="1" ht="12.75">
      <c r="F171" s="459"/>
    </row>
    <row r="172" s="448" customFormat="1" ht="12.75">
      <c r="F172" s="459"/>
    </row>
    <row r="173" s="448" customFormat="1" ht="12.75">
      <c r="F173" s="459"/>
    </row>
    <row r="174" s="448" customFormat="1" ht="12.75">
      <c r="F174" s="459"/>
    </row>
    <row r="175" s="448" customFormat="1" ht="12.75">
      <c r="F175" s="459"/>
    </row>
    <row r="176" s="448" customFormat="1" ht="12.75">
      <c r="F176" s="459"/>
    </row>
    <row r="177" s="448" customFormat="1" ht="12.75">
      <c r="F177" s="459"/>
    </row>
    <row r="178" s="448" customFormat="1" ht="12.75">
      <c r="F178" s="459"/>
    </row>
    <row r="179" s="448" customFormat="1" ht="12.75">
      <c r="F179" s="459"/>
    </row>
    <row r="180" s="448" customFormat="1" ht="12.75">
      <c r="F180" s="459"/>
    </row>
    <row r="181" s="448" customFormat="1" ht="12.75">
      <c r="F181" s="459"/>
    </row>
    <row r="182" s="448" customFormat="1" ht="12.75">
      <c r="F182" s="459"/>
    </row>
    <row r="183" s="448" customFormat="1" ht="12.75">
      <c r="F183" s="459"/>
    </row>
    <row r="184" s="448" customFormat="1" ht="12.75">
      <c r="F184" s="459"/>
    </row>
    <row r="185" s="448" customFormat="1" ht="12.75">
      <c r="F185" s="459"/>
    </row>
    <row r="186" s="448" customFormat="1" ht="12.75">
      <c r="F186" s="459"/>
    </row>
    <row r="187" s="448" customFormat="1" ht="12.75">
      <c r="F187" s="459"/>
    </row>
    <row r="188" s="448" customFormat="1" ht="12.75">
      <c r="F188" s="459"/>
    </row>
    <row r="189" s="448" customFormat="1" ht="12.75">
      <c r="F189" s="459"/>
    </row>
    <row r="190" s="448" customFormat="1" ht="12.75">
      <c r="F190" s="459"/>
    </row>
    <row r="191" s="448" customFormat="1" ht="12.75">
      <c r="F191" s="459"/>
    </row>
    <row r="192" s="448" customFormat="1" ht="12.75">
      <c r="F192" s="459"/>
    </row>
    <row r="193" s="448" customFormat="1" ht="12.75">
      <c r="F193" s="459"/>
    </row>
    <row r="194" s="448" customFormat="1" ht="12.75">
      <c r="F194" s="459"/>
    </row>
    <row r="195" s="448" customFormat="1" ht="12.75">
      <c r="F195" s="459"/>
    </row>
    <row r="196" s="448" customFormat="1" ht="12.75">
      <c r="F196" s="459"/>
    </row>
    <row r="197" s="448" customFormat="1" ht="12.75">
      <c r="F197" s="459"/>
    </row>
    <row r="198" s="448" customFormat="1" ht="12.75">
      <c r="F198" s="459"/>
    </row>
    <row r="199" s="448" customFormat="1" ht="12.75">
      <c r="F199" s="459"/>
    </row>
    <row r="200" s="448" customFormat="1" ht="12.75">
      <c r="F200" s="459"/>
    </row>
    <row r="201" s="448" customFormat="1" ht="12.75">
      <c r="F201" s="459"/>
    </row>
    <row r="202" s="448" customFormat="1" ht="12.75">
      <c r="F202" s="459"/>
    </row>
    <row r="203" s="448" customFormat="1" ht="12.75">
      <c r="F203" s="459"/>
    </row>
    <row r="204" s="448" customFormat="1" ht="12.75">
      <c r="F204" s="459"/>
    </row>
    <row r="205" s="448" customFormat="1" ht="12.75">
      <c r="F205" s="459"/>
    </row>
    <row r="206" s="448" customFormat="1" ht="12.75">
      <c r="F206" s="459"/>
    </row>
    <row r="207" s="448" customFormat="1" ht="12.75">
      <c r="F207" s="459"/>
    </row>
    <row r="208" s="448" customFormat="1" ht="12.75">
      <c r="F208" s="459"/>
    </row>
    <row r="209" s="448" customFormat="1" ht="12.75">
      <c r="F209" s="459"/>
    </row>
    <row r="210" s="448" customFormat="1" ht="12.75">
      <c r="F210" s="459"/>
    </row>
    <row r="211" s="448" customFormat="1" ht="12.75">
      <c r="F211" s="459"/>
    </row>
    <row r="212" s="448" customFormat="1" ht="12.75">
      <c r="F212" s="459"/>
    </row>
    <row r="213" s="448" customFormat="1" ht="12.75">
      <c r="F213" s="459"/>
    </row>
    <row r="214" s="448" customFormat="1" ht="12.75">
      <c r="F214" s="459"/>
    </row>
    <row r="215" s="448" customFormat="1" ht="12.75">
      <c r="F215" s="459"/>
    </row>
    <row r="216" s="448" customFormat="1" ht="12.75">
      <c r="F216" s="459"/>
    </row>
    <row r="217" s="448" customFormat="1" ht="12.75">
      <c r="F217" s="459"/>
    </row>
    <row r="218" s="448" customFormat="1" ht="12.75">
      <c r="F218" s="459"/>
    </row>
    <row r="219" s="448" customFormat="1" ht="12.75">
      <c r="F219" s="459"/>
    </row>
    <row r="220" s="448" customFormat="1" ht="12.75">
      <c r="F220" s="459"/>
    </row>
    <row r="221" s="448" customFormat="1" ht="12.75">
      <c r="F221" s="459"/>
    </row>
    <row r="222" s="448" customFormat="1" ht="12.75">
      <c r="F222" s="459"/>
    </row>
    <row r="223" s="448" customFormat="1" ht="12.75">
      <c r="F223" s="459"/>
    </row>
    <row r="224" s="448" customFormat="1" ht="12.75">
      <c r="F224" s="459"/>
    </row>
    <row r="225" s="448" customFormat="1" ht="12.75">
      <c r="F225" s="459"/>
    </row>
    <row r="226" s="448" customFormat="1" ht="12.75">
      <c r="F226" s="459"/>
    </row>
    <row r="227" s="448" customFormat="1" ht="12.75">
      <c r="F227" s="459"/>
    </row>
    <row r="228" s="448" customFormat="1" ht="12.75">
      <c r="F228" s="459"/>
    </row>
    <row r="229" s="448" customFormat="1" ht="12.75">
      <c r="F229" s="459"/>
    </row>
    <row r="230" s="448" customFormat="1" ht="12.75">
      <c r="F230" s="459"/>
    </row>
    <row r="231" s="448" customFormat="1" ht="12.75">
      <c r="F231" s="459"/>
    </row>
    <row r="232" s="448" customFormat="1" ht="12.75">
      <c r="F232" s="459"/>
    </row>
    <row r="233" s="448" customFormat="1" ht="12.75">
      <c r="F233" s="459"/>
    </row>
    <row r="234" s="448" customFormat="1" ht="12.75">
      <c r="F234" s="459"/>
    </row>
    <row r="235" s="448" customFormat="1" ht="12.75">
      <c r="F235" s="459"/>
    </row>
    <row r="236" s="448" customFormat="1" ht="12.75">
      <c r="F236" s="459"/>
    </row>
    <row r="237" s="448" customFormat="1" ht="12.75">
      <c r="F237" s="459"/>
    </row>
    <row r="238" s="448" customFormat="1" ht="12.75">
      <c r="F238" s="459"/>
    </row>
    <row r="239" s="448" customFormat="1" ht="12.75">
      <c r="F239" s="459"/>
    </row>
    <row r="240" s="448" customFormat="1" ht="12.75">
      <c r="F240" s="459"/>
    </row>
    <row r="241" s="448" customFormat="1" ht="12.75">
      <c r="F241" s="459"/>
    </row>
    <row r="242" s="448" customFormat="1" ht="12.75">
      <c r="F242" s="459"/>
    </row>
    <row r="243" s="448" customFormat="1" ht="12.75">
      <c r="F243" s="459"/>
    </row>
    <row r="244" s="448" customFormat="1" ht="12.75">
      <c r="F244" s="459"/>
    </row>
    <row r="245" s="448" customFormat="1" ht="12.75">
      <c r="F245" s="459"/>
    </row>
    <row r="246" s="448" customFormat="1" ht="12.75">
      <c r="F246" s="459"/>
    </row>
    <row r="247" s="448" customFormat="1" ht="12.75">
      <c r="F247" s="459"/>
    </row>
    <row r="248" s="448" customFormat="1" ht="12.75">
      <c r="F248" s="459"/>
    </row>
    <row r="249" s="448" customFormat="1" ht="12.75">
      <c r="F249" s="459"/>
    </row>
    <row r="250" s="448" customFormat="1" ht="12.75">
      <c r="F250" s="459"/>
    </row>
    <row r="251" s="448" customFormat="1" ht="12.75">
      <c r="F251" s="459"/>
    </row>
    <row r="252" s="448" customFormat="1" ht="12.75">
      <c r="F252" s="459"/>
    </row>
    <row r="253" s="448" customFormat="1" ht="12.75">
      <c r="F253" s="459"/>
    </row>
    <row r="254" s="448" customFormat="1" ht="12.75">
      <c r="F254" s="459"/>
    </row>
    <row r="255" s="448" customFormat="1" ht="12.75">
      <c r="F255" s="459"/>
    </row>
    <row r="256" s="448" customFormat="1" ht="12.75">
      <c r="F256" s="459"/>
    </row>
    <row r="257" s="448" customFormat="1" ht="12.75">
      <c r="F257" s="459"/>
    </row>
    <row r="258" s="448" customFormat="1" ht="12.75">
      <c r="F258" s="459"/>
    </row>
    <row r="259" s="448" customFormat="1" ht="12.75">
      <c r="F259" s="459"/>
    </row>
    <row r="260" s="448" customFormat="1" ht="12.75">
      <c r="F260" s="459"/>
    </row>
    <row r="261" s="448" customFormat="1" ht="12.75">
      <c r="F261" s="459"/>
    </row>
    <row r="262" s="448" customFormat="1" ht="12.75">
      <c r="F262" s="459"/>
    </row>
    <row r="263" s="448" customFormat="1" ht="12.75">
      <c r="F263" s="459"/>
    </row>
    <row r="264" s="448" customFormat="1" ht="12.75">
      <c r="F264" s="459"/>
    </row>
    <row r="265" s="448" customFormat="1" ht="12.75">
      <c r="F265" s="459"/>
    </row>
    <row r="266" s="448" customFormat="1" ht="12.75">
      <c r="F266" s="459"/>
    </row>
    <row r="267" s="448" customFormat="1" ht="12.75">
      <c r="F267" s="459"/>
    </row>
    <row r="268" s="448" customFormat="1" ht="12.75">
      <c r="F268" s="459"/>
    </row>
    <row r="269" s="448" customFormat="1" ht="12.75">
      <c r="F269" s="459"/>
    </row>
    <row r="270" s="448" customFormat="1" ht="12.75">
      <c r="F270" s="459"/>
    </row>
    <row r="271" s="448" customFormat="1" ht="12.75">
      <c r="F271" s="459"/>
    </row>
    <row r="272" s="448" customFormat="1" ht="12.75">
      <c r="F272" s="459"/>
    </row>
    <row r="273" s="448" customFormat="1" ht="12.75">
      <c r="F273" s="459"/>
    </row>
    <row r="274" s="448" customFormat="1" ht="12.75">
      <c r="F274" s="459"/>
    </row>
    <row r="275" s="448" customFormat="1" ht="12.75">
      <c r="F275" s="459"/>
    </row>
    <row r="276" s="448" customFormat="1" ht="12.75">
      <c r="F276" s="459"/>
    </row>
    <row r="277" s="448" customFormat="1" ht="12.75">
      <c r="F277" s="459"/>
    </row>
    <row r="278" s="448" customFormat="1" ht="12.75">
      <c r="F278" s="459"/>
    </row>
    <row r="279" s="448" customFormat="1" ht="12.75">
      <c r="F279" s="459"/>
    </row>
    <row r="280" s="448" customFormat="1" ht="12.75">
      <c r="F280" s="459"/>
    </row>
    <row r="281" s="448" customFormat="1" ht="12.75">
      <c r="F281" s="459"/>
    </row>
    <row r="282" s="448" customFormat="1" ht="12.75">
      <c r="F282" s="459"/>
    </row>
    <row r="283" s="448" customFormat="1" ht="12.75">
      <c r="F283" s="459"/>
    </row>
    <row r="284" s="448" customFormat="1" ht="12.75">
      <c r="F284" s="459"/>
    </row>
    <row r="285" s="448" customFormat="1" ht="12.75">
      <c r="F285" s="459"/>
    </row>
    <row r="286" s="448" customFormat="1" ht="12.75">
      <c r="F286" s="459"/>
    </row>
    <row r="287" s="448" customFormat="1" ht="12.75">
      <c r="F287" s="459"/>
    </row>
    <row r="288" s="448" customFormat="1" ht="12.75">
      <c r="F288" s="459"/>
    </row>
    <row r="289" s="448" customFormat="1" ht="12.75">
      <c r="F289" s="459"/>
    </row>
    <row r="290" s="448" customFormat="1" ht="12.75">
      <c r="F290" s="459"/>
    </row>
    <row r="291" s="448" customFormat="1" ht="12.75">
      <c r="F291" s="459"/>
    </row>
    <row r="292" s="448" customFormat="1" ht="12.75">
      <c r="F292" s="459"/>
    </row>
    <row r="293" s="448" customFormat="1" ht="12.75">
      <c r="F293" s="459"/>
    </row>
    <row r="294" s="448" customFormat="1" ht="12.75">
      <c r="F294" s="459"/>
    </row>
    <row r="295" s="448" customFormat="1" ht="12.75">
      <c r="F295" s="459"/>
    </row>
    <row r="296" s="448" customFormat="1" ht="12.75">
      <c r="F296" s="459"/>
    </row>
    <row r="297" s="448" customFormat="1" ht="12.75">
      <c r="F297" s="459"/>
    </row>
    <row r="298" s="448" customFormat="1" ht="12.75">
      <c r="F298" s="459"/>
    </row>
    <row r="299" s="448" customFormat="1" ht="12.75">
      <c r="F299" s="459"/>
    </row>
    <row r="300" s="448" customFormat="1" ht="12.75">
      <c r="F300" s="459"/>
    </row>
    <row r="301" s="448" customFormat="1" ht="12.75">
      <c r="F301" s="459"/>
    </row>
    <row r="302" s="448" customFormat="1" ht="12.75">
      <c r="F302" s="459"/>
    </row>
    <row r="303" s="448" customFormat="1" ht="12.75">
      <c r="F303" s="459"/>
    </row>
    <row r="304" s="448" customFormat="1" ht="12.75">
      <c r="F304" s="459"/>
    </row>
    <row r="305" s="448" customFormat="1" ht="12.75">
      <c r="F305" s="459"/>
    </row>
    <row r="306" s="448" customFormat="1" ht="12.75">
      <c r="F306" s="459"/>
    </row>
    <row r="307" s="448" customFormat="1" ht="12.75">
      <c r="F307" s="459"/>
    </row>
    <row r="308" s="448" customFormat="1" ht="12.75">
      <c r="F308" s="459"/>
    </row>
    <row r="309" s="448" customFormat="1" ht="12.75">
      <c r="F309" s="459"/>
    </row>
    <row r="310" s="448" customFormat="1" ht="12.75">
      <c r="F310" s="459"/>
    </row>
    <row r="311" s="448" customFormat="1" ht="12.75">
      <c r="F311" s="459"/>
    </row>
    <row r="312" s="448" customFormat="1" ht="12.75">
      <c r="F312" s="459"/>
    </row>
    <row r="313" s="448" customFormat="1" ht="12.75">
      <c r="F313" s="459"/>
    </row>
    <row r="314" s="448" customFormat="1" ht="12.75">
      <c r="F314" s="459"/>
    </row>
    <row r="315" s="448" customFormat="1" ht="12.75">
      <c r="F315" s="459"/>
    </row>
    <row r="316" s="448" customFormat="1" ht="12.75">
      <c r="F316" s="459"/>
    </row>
    <row r="317" s="448" customFormat="1" ht="12.75">
      <c r="F317" s="459"/>
    </row>
    <row r="318" s="448" customFormat="1" ht="12.75">
      <c r="F318" s="459"/>
    </row>
    <row r="319" s="448" customFormat="1" ht="12.75">
      <c r="F319" s="459"/>
    </row>
    <row r="320" s="448" customFormat="1" ht="12.75">
      <c r="F320" s="459"/>
    </row>
    <row r="321" s="448" customFormat="1" ht="12.75">
      <c r="F321" s="459"/>
    </row>
    <row r="322" s="448" customFormat="1" ht="12.75">
      <c r="F322" s="459"/>
    </row>
    <row r="323" s="448" customFormat="1" ht="12.75">
      <c r="F323" s="459"/>
    </row>
    <row r="324" s="448" customFormat="1" ht="12.75">
      <c r="F324" s="459"/>
    </row>
    <row r="325" s="448" customFormat="1" ht="12.75">
      <c r="F325" s="459"/>
    </row>
    <row r="326" s="448" customFormat="1" ht="12.75">
      <c r="F326" s="459"/>
    </row>
    <row r="327" s="448" customFormat="1" ht="12.75">
      <c r="F327" s="459"/>
    </row>
    <row r="328" s="448" customFormat="1" ht="12.75">
      <c r="F328" s="459"/>
    </row>
    <row r="329" s="448" customFormat="1" ht="12.75">
      <c r="F329" s="459"/>
    </row>
    <row r="330" s="448" customFormat="1" ht="12.75">
      <c r="F330" s="459"/>
    </row>
    <row r="331" s="448" customFormat="1" ht="12.75">
      <c r="F331" s="459"/>
    </row>
    <row r="332" s="448" customFormat="1" ht="12.75">
      <c r="F332" s="459"/>
    </row>
    <row r="333" s="448" customFormat="1" ht="12.75">
      <c r="F333" s="459"/>
    </row>
    <row r="334" s="448" customFormat="1" ht="12.75">
      <c r="F334" s="459"/>
    </row>
    <row r="335" s="448" customFormat="1" ht="12.75">
      <c r="F335" s="459"/>
    </row>
    <row r="336" s="448" customFormat="1" ht="12.75">
      <c r="F336" s="459"/>
    </row>
    <row r="337" s="448" customFormat="1" ht="12.75">
      <c r="F337" s="459"/>
    </row>
    <row r="338" s="448" customFormat="1" ht="12.75">
      <c r="F338" s="459"/>
    </row>
    <row r="339" s="448" customFormat="1" ht="12.75">
      <c r="F339" s="459"/>
    </row>
    <row r="340" s="448" customFormat="1" ht="12.75">
      <c r="F340" s="459"/>
    </row>
    <row r="341" s="448" customFormat="1" ht="12.75">
      <c r="F341" s="459"/>
    </row>
    <row r="342" s="448" customFormat="1" ht="12.75">
      <c r="F342" s="459"/>
    </row>
    <row r="343" s="448" customFormat="1" ht="12.75">
      <c r="F343" s="459"/>
    </row>
    <row r="344" s="448" customFormat="1" ht="12.75">
      <c r="F344" s="459"/>
    </row>
    <row r="345" s="448" customFormat="1" ht="12.75">
      <c r="F345" s="459"/>
    </row>
    <row r="346" s="448" customFormat="1" ht="12.75">
      <c r="F346" s="459"/>
    </row>
    <row r="347" s="448" customFormat="1" ht="12.75">
      <c r="F347" s="459"/>
    </row>
    <row r="348" s="448" customFormat="1" ht="12.75">
      <c r="F348" s="459"/>
    </row>
    <row r="349" s="448" customFormat="1" ht="12.75">
      <c r="F349" s="459"/>
    </row>
    <row r="350" s="448" customFormat="1" ht="12.75">
      <c r="F350" s="459"/>
    </row>
    <row r="351" s="448" customFormat="1" ht="12.75">
      <c r="F351" s="459"/>
    </row>
    <row r="352" s="448" customFormat="1" ht="12.75">
      <c r="F352" s="459"/>
    </row>
    <row r="353" s="448" customFormat="1" ht="12.75">
      <c r="F353" s="459"/>
    </row>
    <row r="354" s="448" customFormat="1" ht="12.75">
      <c r="F354" s="459"/>
    </row>
    <row r="355" s="448" customFormat="1" ht="12.75">
      <c r="F355" s="459"/>
    </row>
    <row r="356" s="448" customFormat="1" ht="12.75">
      <c r="F356" s="459"/>
    </row>
    <row r="357" s="448" customFormat="1" ht="12.75">
      <c r="F357" s="459"/>
    </row>
    <row r="358" s="448" customFormat="1" ht="12.75">
      <c r="F358" s="459"/>
    </row>
    <row r="359" s="448" customFormat="1" ht="12.75">
      <c r="F359" s="459"/>
    </row>
    <row r="360" s="448" customFormat="1" ht="12.75">
      <c r="F360" s="459"/>
    </row>
    <row r="361" s="448" customFormat="1" ht="12.75">
      <c r="F361" s="459"/>
    </row>
    <row r="362" s="448" customFormat="1" ht="12.75">
      <c r="F362" s="459"/>
    </row>
    <row r="363" s="448" customFormat="1" ht="12.75">
      <c r="F363" s="459"/>
    </row>
    <row r="364" s="448" customFormat="1" ht="12.75">
      <c r="F364" s="459"/>
    </row>
    <row r="365" s="448" customFormat="1" ht="12.75">
      <c r="F365" s="459"/>
    </row>
    <row r="366" s="448" customFormat="1" ht="12.75">
      <c r="F366" s="459"/>
    </row>
    <row r="367" s="448" customFormat="1" ht="12.75">
      <c r="F367" s="459"/>
    </row>
    <row r="368" s="448" customFormat="1" ht="12.75">
      <c r="F368" s="459"/>
    </row>
    <row r="369" s="448" customFormat="1" ht="12.75">
      <c r="F369" s="459"/>
    </row>
    <row r="370" s="448" customFormat="1" ht="12.75">
      <c r="F370" s="459"/>
    </row>
    <row r="371" s="448" customFormat="1" ht="12.75">
      <c r="F371" s="459"/>
    </row>
    <row r="372" s="448" customFormat="1" ht="12.75">
      <c r="F372" s="459"/>
    </row>
    <row r="373" s="448" customFormat="1" ht="12.75">
      <c r="F373" s="459"/>
    </row>
    <row r="374" s="448" customFormat="1" ht="12.75">
      <c r="F374" s="459"/>
    </row>
    <row r="375" s="448" customFormat="1" ht="12.75">
      <c r="F375" s="459"/>
    </row>
    <row r="376" s="448" customFormat="1" ht="12.75">
      <c r="F376" s="459"/>
    </row>
    <row r="377" s="448" customFormat="1" ht="12.75">
      <c r="F377" s="459"/>
    </row>
    <row r="378" s="448" customFormat="1" ht="12.75">
      <c r="F378" s="459"/>
    </row>
    <row r="379" s="448" customFormat="1" ht="12.75">
      <c r="F379" s="459"/>
    </row>
    <row r="380" s="448" customFormat="1" ht="12.75">
      <c r="F380" s="459"/>
    </row>
    <row r="381" s="448" customFormat="1" ht="12.75">
      <c r="F381" s="459"/>
    </row>
    <row r="382" s="448" customFormat="1" ht="12.75">
      <c r="F382" s="459"/>
    </row>
    <row r="383" s="448" customFormat="1" ht="12.75">
      <c r="F383" s="459"/>
    </row>
    <row r="384" s="448" customFormat="1" ht="12.75">
      <c r="F384" s="459"/>
    </row>
    <row r="385" s="448" customFormat="1" ht="12.75">
      <c r="F385" s="459"/>
    </row>
    <row r="386" s="448" customFormat="1" ht="12.75">
      <c r="F386" s="459"/>
    </row>
    <row r="387" s="448" customFormat="1" ht="12.75">
      <c r="F387" s="459"/>
    </row>
    <row r="388" s="448" customFormat="1" ht="12.75">
      <c r="F388" s="459"/>
    </row>
    <row r="389" s="448" customFormat="1" ht="12.75">
      <c r="F389" s="459"/>
    </row>
    <row r="390" s="448" customFormat="1" ht="12.75">
      <c r="F390" s="459"/>
    </row>
    <row r="391" s="448" customFormat="1" ht="12.75">
      <c r="F391" s="459"/>
    </row>
    <row r="392" s="448" customFormat="1" ht="12.75">
      <c r="F392" s="459"/>
    </row>
    <row r="393" s="448" customFormat="1" ht="12.75">
      <c r="F393" s="459"/>
    </row>
    <row r="394" s="448" customFormat="1" ht="12.75">
      <c r="F394" s="459"/>
    </row>
    <row r="395" s="448" customFormat="1" ht="12.75">
      <c r="F395" s="459"/>
    </row>
    <row r="396" s="448" customFormat="1" ht="12.75">
      <c r="F396" s="459"/>
    </row>
    <row r="397" s="448" customFormat="1" ht="12.75">
      <c r="F397" s="459"/>
    </row>
    <row r="398" s="448" customFormat="1" ht="12.75">
      <c r="F398" s="459"/>
    </row>
    <row r="399" s="448" customFormat="1" ht="12.75">
      <c r="F399" s="459"/>
    </row>
    <row r="400" s="448" customFormat="1" ht="12.75">
      <c r="F400" s="459"/>
    </row>
    <row r="401" s="448" customFormat="1" ht="12.75">
      <c r="F401" s="459"/>
    </row>
    <row r="402" s="448" customFormat="1" ht="12.75">
      <c r="F402" s="459"/>
    </row>
    <row r="403" s="448" customFormat="1" ht="12.75">
      <c r="F403" s="459"/>
    </row>
    <row r="404" s="448" customFormat="1" ht="12.75">
      <c r="F404" s="459"/>
    </row>
    <row r="405" s="448" customFormat="1" ht="12.75">
      <c r="F405" s="459"/>
    </row>
    <row r="406" s="448" customFormat="1" ht="12.75">
      <c r="F406" s="459"/>
    </row>
    <row r="407" s="448" customFormat="1" ht="12.75">
      <c r="F407" s="459"/>
    </row>
    <row r="408" s="448" customFormat="1" ht="12.75">
      <c r="F408" s="459"/>
    </row>
    <row r="409" s="448" customFormat="1" ht="12.75">
      <c r="F409" s="459"/>
    </row>
    <row r="410" s="448" customFormat="1" ht="12.75">
      <c r="F410" s="459"/>
    </row>
    <row r="411" s="448" customFormat="1" ht="12.75">
      <c r="F411" s="459"/>
    </row>
    <row r="412" s="448" customFormat="1" ht="12.75">
      <c r="F412" s="459"/>
    </row>
    <row r="413" s="448" customFormat="1" ht="12.75">
      <c r="F413" s="459"/>
    </row>
    <row r="414" s="448" customFormat="1" ht="12.75">
      <c r="F414" s="459"/>
    </row>
    <row r="415" s="448" customFormat="1" ht="12.75">
      <c r="F415" s="459"/>
    </row>
    <row r="416" s="448" customFormat="1" ht="12.75">
      <c r="F416" s="459"/>
    </row>
    <row r="417" s="448" customFormat="1" ht="12.75">
      <c r="F417" s="459"/>
    </row>
    <row r="418" s="448" customFormat="1" ht="12.75">
      <c r="F418" s="459"/>
    </row>
    <row r="419" s="448" customFormat="1" ht="12.75">
      <c r="F419" s="459"/>
    </row>
    <row r="420" s="448" customFormat="1" ht="12.75">
      <c r="F420" s="459"/>
    </row>
    <row r="421" s="448" customFormat="1" ht="12.75">
      <c r="F421" s="459"/>
    </row>
    <row r="422" s="448" customFormat="1" ht="12.75">
      <c r="F422" s="459"/>
    </row>
    <row r="423" s="448" customFormat="1" ht="12.75">
      <c r="F423" s="459"/>
    </row>
    <row r="424" s="448" customFormat="1" ht="12.75">
      <c r="F424" s="459"/>
    </row>
    <row r="425" s="448" customFormat="1" ht="12.75">
      <c r="F425" s="459"/>
    </row>
    <row r="426" s="448" customFormat="1" ht="12.75">
      <c r="F426" s="459"/>
    </row>
    <row r="427" s="448" customFormat="1" ht="12.75">
      <c r="F427" s="459"/>
    </row>
    <row r="428" s="448" customFormat="1" ht="12.75">
      <c r="F428" s="459"/>
    </row>
    <row r="429" s="448" customFormat="1" ht="12.75">
      <c r="F429" s="459"/>
    </row>
    <row r="430" s="448" customFormat="1" ht="12.75">
      <c r="F430" s="459"/>
    </row>
    <row r="431" s="448" customFormat="1" ht="12.75">
      <c r="F431" s="459"/>
    </row>
    <row r="432" s="448" customFormat="1" ht="12.75">
      <c r="F432" s="459"/>
    </row>
    <row r="433" s="448" customFormat="1" ht="12.75">
      <c r="F433" s="459"/>
    </row>
    <row r="434" s="448" customFormat="1" ht="12.75">
      <c r="F434" s="459"/>
    </row>
    <row r="435" s="448" customFormat="1" ht="12.75">
      <c r="F435" s="459"/>
    </row>
    <row r="436" s="448" customFormat="1" ht="12.75">
      <c r="F436" s="459"/>
    </row>
    <row r="437" s="448" customFormat="1" ht="12.75">
      <c r="F437" s="459"/>
    </row>
    <row r="438" s="448" customFormat="1" ht="12.75">
      <c r="F438" s="459"/>
    </row>
    <row r="439" s="448" customFormat="1" ht="12.75">
      <c r="F439" s="459"/>
    </row>
    <row r="440" s="448" customFormat="1" ht="12.75">
      <c r="F440" s="459"/>
    </row>
    <row r="441" s="448" customFormat="1" ht="12.75">
      <c r="F441" s="459"/>
    </row>
    <row r="442" s="448" customFormat="1" ht="12.75">
      <c r="F442" s="459"/>
    </row>
    <row r="443" s="448" customFormat="1" ht="12.75">
      <c r="F443" s="459"/>
    </row>
    <row r="444" s="448" customFormat="1" ht="12.75">
      <c r="F444" s="459"/>
    </row>
    <row r="445" s="448" customFormat="1" ht="12.75">
      <c r="F445" s="459"/>
    </row>
    <row r="446" s="448" customFormat="1" ht="12.75">
      <c r="F446" s="459"/>
    </row>
    <row r="447" s="448" customFormat="1" ht="12.75">
      <c r="F447" s="459"/>
    </row>
    <row r="448" s="448" customFormat="1" ht="12.75">
      <c r="F448" s="459"/>
    </row>
    <row r="449" s="448" customFormat="1" ht="12.75">
      <c r="F449" s="459"/>
    </row>
    <row r="450" s="448" customFormat="1" ht="12.75">
      <c r="F450" s="459"/>
    </row>
    <row r="451" s="448" customFormat="1" ht="12.75">
      <c r="F451" s="459"/>
    </row>
    <row r="452" s="448" customFormat="1" ht="12.75">
      <c r="F452" s="459"/>
    </row>
    <row r="453" s="448" customFormat="1" ht="12.75">
      <c r="F453" s="459"/>
    </row>
    <row r="454" s="448" customFormat="1" ht="12.75">
      <c r="F454" s="459"/>
    </row>
    <row r="455" s="448" customFormat="1" ht="12.75">
      <c r="F455" s="459"/>
    </row>
    <row r="456" s="448" customFormat="1" ht="12.75">
      <c r="F456" s="459"/>
    </row>
    <row r="457" s="448" customFormat="1" ht="12.75">
      <c r="F457" s="459"/>
    </row>
    <row r="458" s="448" customFormat="1" ht="12.75">
      <c r="F458" s="459"/>
    </row>
    <row r="459" s="448" customFormat="1" ht="12.75">
      <c r="F459" s="459"/>
    </row>
    <row r="460" s="448" customFormat="1" ht="12.75">
      <c r="F460" s="459"/>
    </row>
    <row r="461" s="448" customFormat="1" ht="12.75">
      <c r="F461" s="459"/>
    </row>
    <row r="462" s="448" customFormat="1" ht="12.75">
      <c r="F462" s="459"/>
    </row>
    <row r="463" s="448" customFormat="1" ht="12.75">
      <c r="F463" s="459"/>
    </row>
    <row r="464" s="448" customFormat="1" ht="12.75">
      <c r="F464" s="459"/>
    </row>
    <row r="465" s="448" customFormat="1" ht="12.75">
      <c r="F465" s="459"/>
    </row>
    <row r="466" s="448" customFormat="1" ht="12.75">
      <c r="F466" s="459"/>
    </row>
    <row r="467" s="448" customFormat="1" ht="12.75">
      <c r="F467" s="459"/>
    </row>
    <row r="468" s="448" customFormat="1" ht="12.75">
      <c r="F468" s="459"/>
    </row>
    <row r="469" s="448" customFormat="1" ht="12.75">
      <c r="F469" s="459"/>
    </row>
    <row r="470" s="448" customFormat="1" ht="12.75">
      <c r="F470" s="459"/>
    </row>
    <row r="471" s="448" customFormat="1" ht="12.75">
      <c r="F471" s="459"/>
    </row>
    <row r="472" s="448" customFormat="1" ht="12.75">
      <c r="F472" s="459"/>
    </row>
    <row r="473" s="448" customFormat="1" ht="12.75">
      <c r="F473" s="459"/>
    </row>
    <row r="474" s="448" customFormat="1" ht="12.75">
      <c r="F474" s="459"/>
    </row>
    <row r="475" s="448" customFormat="1" ht="12.75">
      <c r="F475" s="459"/>
    </row>
    <row r="476" s="448" customFormat="1" ht="12.75">
      <c r="F476" s="459"/>
    </row>
    <row r="477" s="448" customFormat="1" ht="12.75">
      <c r="F477" s="459"/>
    </row>
    <row r="478" s="448" customFormat="1" ht="12.75">
      <c r="F478" s="459"/>
    </row>
    <row r="479" s="448" customFormat="1" ht="12.75">
      <c r="F479" s="459"/>
    </row>
    <row r="480" s="448" customFormat="1" ht="12.75">
      <c r="F480" s="459"/>
    </row>
    <row r="481" s="448" customFormat="1" ht="12.75">
      <c r="F481" s="459"/>
    </row>
    <row r="482" s="448" customFormat="1" ht="12.75">
      <c r="F482" s="459"/>
    </row>
    <row r="483" s="448" customFormat="1" ht="12.75">
      <c r="F483" s="459"/>
    </row>
    <row r="484" s="448" customFormat="1" ht="12.75">
      <c r="F484" s="459"/>
    </row>
    <row r="485" s="448" customFormat="1" ht="12.75">
      <c r="F485" s="459"/>
    </row>
    <row r="486" s="448" customFormat="1" ht="12.75">
      <c r="F486" s="459"/>
    </row>
    <row r="487" s="448" customFormat="1" ht="12.75">
      <c r="F487" s="459"/>
    </row>
    <row r="488" s="448" customFormat="1" ht="12.75">
      <c r="F488" s="459"/>
    </row>
    <row r="489" s="448" customFormat="1" ht="12.75">
      <c r="F489" s="459"/>
    </row>
    <row r="490" s="448" customFormat="1" ht="12.75">
      <c r="F490" s="459"/>
    </row>
    <row r="491" s="448" customFormat="1" ht="12.75">
      <c r="F491" s="459"/>
    </row>
    <row r="492" s="448" customFormat="1" ht="12.75">
      <c r="F492" s="459"/>
    </row>
    <row r="493" s="448" customFormat="1" ht="12.75">
      <c r="F493" s="459"/>
    </row>
    <row r="494" s="448" customFormat="1" ht="12.75">
      <c r="F494" s="459"/>
    </row>
    <row r="495" s="448" customFormat="1" ht="12.75">
      <c r="F495" s="459"/>
    </row>
    <row r="496" s="448" customFormat="1" ht="12.75">
      <c r="F496" s="459"/>
    </row>
    <row r="497" s="448" customFormat="1" ht="12.75">
      <c r="F497" s="459"/>
    </row>
    <row r="498" s="448" customFormat="1" ht="12.75">
      <c r="F498" s="459"/>
    </row>
    <row r="499" s="448" customFormat="1" ht="12.75">
      <c r="F499" s="459"/>
    </row>
    <row r="500" s="448" customFormat="1" ht="12.75">
      <c r="F500" s="459"/>
    </row>
    <row r="501" s="448" customFormat="1" ht="12.75">
      <c r="F501" s="459"/>
    </row>
    <row r="502" s="448" customFormat="1" ht="12.75">
      <c r="F502" s="459"/>
    </row>
    <row r="503" s="448" customFormat="1" ht="12.75">
      <c r="F503" s="459"/>
    </row>
    <row r="504" s="448" customFormat="1" ht="12.75">
      <c r="F504" s="459"/>
    </row>
    <row r="505" s="448" customFormat="1" ht="12.75">
      <c r="F505" s="459"/>
    </row>
    <row r="506" s="448" customFormat="1" ht="12.75">
      <c r="F506" s="459"/>
    </row>
    <row r="507" s="448" customFormat="1" ht="12.75">
      <c r="F507" s="459"/>
    </row>
    <row r="508" s="448" customFormat="1" ht="12.75">
      <c r="F508" s="459"/>
    </row>
    <row r="509" s="448" customFormat="1" ht="12.75">
      <c r="F509" s="459"/>
    </row>
    <row r="510" s="448" customFormat="1" ht="12.75">
      <c r="F510" s="459"/>
    </row>
    <row r="511" s="448" customFormat="1" ht="12.75">
      <c r="F511" s="459"/>
    </row>
    <row r="512" s="448" customFormat="1" ht="12.75">
      <c r="F512" s="459"/>
    </row>
    <row r="513" s="448" customFormat="1" ht="12.75">
      <c r="F513" s="459"/>
    </row>
    <row r="514" s="448" customFormat="1" ht="12.75">
      <c r="F514" s="459"/>
    </row>
    <row r="515" s="448" customFormat="1" ht="12.75">
      <c r="F515" s="459"/>
    </row>
    <row r="516" s="448" customFormat="1" ht="12.75">
      <c r="F516" s="459"/>
    </row>
    <row r="517" s="448" customFormat="1" ht="12.75">
      <c r="F517" s="459"/>
    </row>
    <row r="518" s="448" customFormat="1" ht="12.75">
      <c r="F518" s="459"/>
    </row>
    <row r="519" s="448" customFormat="1" ht="12.75">
      <c r="F519" s="459"/>
    </row>
    <row r="520" s="448" customFormat="1" ht="12.75">
      <c r="F520" s="459"/>
    </row>
    <row r="521" s="448" customFormat="1" ht="12.75">
      <c r="F521" s="459"/>
    </row>
    <row r="522" s="448" customFormat="1" ht="12.75">
      <c r="F522" s="459"/>
    </row>
    <row r="523" s="448" customFormat="1" ht="12.75">
      <c r="F523" s="459"/>
    </row>
    <row r="524" s="448" customFormat="1" ht="12.75">
      <c r="F524" s="459"/>
    </row>
    <row r="525" s="448" customFormat="1" ht="12.75">
      <c r="F525" s="459"/>
    </row>
    <row r="526" s="448" customFormat="1" ht="12.75">
      <c r="F526" s="459"/>
    </row>
    <row r="527" s="448" customFormat="1" ht="12.75">
      <c r="F527" s="459"/>
    </row>
    <row r="528" s="448" customFormat="1" ht="12.75">
      <c r="F528" s="459"/>
    </row>
    <row r="529" s="448" customFormat="1" ht="12.75">
      <c r="F529" s="459"/>
    </row>
    <row r="530" s="448" customFormat="1" ht="12.75">
      <c r="F530" s="459"/>
    </row>
    <row r="531" s="448" customFormat="1" ht="12.75">
      <c r="F531" s="459"/>
    </row>
    <row r="532" s="448" customFormat="1" ht="12.75">
      <c r="F532" s="459"/>
    </row>
    <row r="533" s="448" customFormat="1" ht="12.75">
      <c r="F533" s="459"/>
    </row>
    <row r="534" s="448" customFormat="1" ht="12.75">
      <c r="F534" s="459"/>
    </row>
    <row r="535" s="448" customFormat="1" ht="12.75">
      <c r="F535" s="459"/>
    </row>
    <row r="536" s="448" customFormat="1" ht="12.75">
      <c r="F536" s="459"/>
    </row>
    <row r="537" s="448" customFormat="1" ht="12.75">
      <c r="F537" s="459"/>
    </row>
    <row r="538" s="448" customFormat="1" ht="12.75">
      <c r="F538" s="459"/>
    </row>
    <row r="539" s="448" customFormat="1" ht="12.75">
      <c r="F539" s="459"/>
    </row>
    <row r="540" s="448" customFormat="1" ht="12.75">
      <c r="F540" s="459"/>
    </row>
    <row r="541" s="448" customFormat="1" ht="12.75">
      <c r="F541" s="459"/>
    </row>
    <row r="542" s="448" customFormat="1" ht="12.75">
      <c r="F542" s="459"/>
    </row>
    <row r="543" s="448" customFormat="1" ht="12.75">
      <c r="F543" s="459"/>
    </row>
    <row r="544" s="448" customFormat="1" ht="12.75">
      <c r="F544" s="459"/>
    </row>
    <row r="545" s="448" customFormat="1" ht="12.75">
      <c r="F545" s="459"/>
    </row>
    <row r="546" s="448" customFormat="1" ht="12.75">
      <c r="F546" s="459"/>
    </row>
    <row r="547" s="448" customFormat="1" ht="12.75">
      <c r="F547" s="459"/>
    </row>
    <row r="548" s="448" customFormat="1" ht="12.75">
      <c r="F548" s="459"/>
    </row>
    <row r="549" s="448" customFormat="1" ht="12.75">
      <c r="F549" s="459"/>
    </row>
    <row r="550" s="448" customFormat="1" ht="12.75">
      <c r="F550" s="459"/>
    </row>
    <row r="551" s="448" customFormat="1" ht="12.75">
      <c r="F551" s="459"/>
    </row>
    <row r="552" s="448" customFormat="1" ht="12.75">
      <c r="F552" s="459"/>
    </row>
    <row r="553" s="448" customFormat="1" ht="12.75">
      <c r="F553" s="459"/>
    </row>
    <row r="554" s="448" customFormat="1" ht="12.75">
      <c r="F554" s="459"/>
    </row>
    <row r="555" s="448" customFormat="1" ht="12.75">
      <c r="F555" s="459"/>
    </row>
    <row r="556" s="448" customFormat="1" ht="12.75">
      <c r="F556" s="459"/>
    </row>
    <row r="557" s="448" customFormat="1" ht="12.75">
      <c r="F557" s="459"/>
    </row>
    <row r="558" s="448" customFormat="1" ht="12.75">
      <c r="F558" s="459"/>
    </row>
    <row r="559" s="448" customFormat="1" ht="12.75">
      <c r="F559" s="459"/>
    </row>
    <row r="560" s="448" customFormat="1" ht="12.75">
      <c r="F560" s="459"/>
    </row>
    <row r="561" s="448" customFormat="1" ht="12.75">
      <c r="F561" s="459"/>
    </row>
    <row r="562" s="448" customFormat="1" ht="12.75">
      <c r="F562" s="459"/>
    </row>
    <row r="563" s="448" customFormat="1" ht="12.75">
      <c r="F563" s="459"/>
    </row>
    <row r="564" spans="2:6" ht="12.75">
      <c r="B564" s="448"/>
      <c r="C564" s="448"/>
      <c r="D564" s="448"/>
      <c r="E564" s="448"/>
      <c r="F564" s="45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2755905511811024" footer="0.2362204724409449"/>
  <pageSetup fitToHeight="1" fitToWidth="1" horizontalDpi="300" verticalDpi="300" orientation="portrait" paperSize="9" scale="63" r:id="rId1"/>
  <headerFooter alignWithMargins="0">
    <oddHeader>&amp;L                     &amp;R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73">
      <selection activeCell="A85" sqref="A85:IV86"/>
    </sheetView>
  </sheetViews>
  <sheetFormatPr defaultColWidth="11.57421875" defaultRowHeight="12.75"/>
  <cols>
    <col min="1" max="1" width="4.57421875" style="345" customWidth="1"/>
    <col min="2" max="2" width="66.00390625" style="345" customWidth="1"/>
    <col min="3" max="3" width="0.42578125" style="345" hidden="1" customWidth="1"/>
    <col min="4" max="4" width="15.8515625" style="345" customWidth="1"/>
    <col min="5" max="5" width="20.7109375" style="345" customWidth="1"/>
    <col min="6" max="6" width="8.8515625" style="345" customWidth="1"/>
    <col min="7" max="7" width="11.57421875" style="347" customWidth="1"/>
    <col min="8" max="16384" width="11.57421875" style="345" customWidth="1"/>
  </cols>
  <sheetData>
    <row r="1" spans="2:5" ht="12.75">
      <c r="B1" s="346"/>
      <c r="C1" s="346"/>
      <c r="D1" s="346"/>
      <c r="E1" s="346"/>
    </row>
    <row r="2" spans="2:5" ht="12.75">
      <c r="B2" s="346"/>
      <c r="C2" s="346"/>
      <c r="D2" s="346"/>
      <c r="E2" s="346"/>
    </row>
    <row r="3" spans="2:5" ht="13.5" thickBot="1">
      <c r="B3" s="346"/>
      <c r="C3" s="346"/>
      <c r="D3" s="346"/>
      <c r="E3" s="346"/>
    </row>
    <row r="4" spans="1:7" s="349" customFormat="1" ht="35.25" customHeight="1">
      <c r="A4" s="345"/>
      <c r="B4" s="1107" t="s">
        <v>131</v>
      </c>
      <c r="C4" s="1108"/>
      <c r="D4" s="1109"/>
      <c r="E4" s="348">
        <v>2017</v>
      </c>
      <c r="G4" s="350"/>
    </row>
    <row r="5" spans="2:5" ht="25.5" customHeight="1" thickBot="1">
      <c r="B5" s="1110" t="str">
        <f>CPYG!B3</f>
        <v>ENTIDAD: SPET</v>
      </c>
      <c r="C5" s="1111"/>
      <c r="D5" s="1111"/>
      <c r="E5" s="351" t="s">
        <v>243</v>
      </c>
    </row>
    <row r="6" spans="2:5" ht="30" customHeight="1">
      <c r="B6" s="1112" t="s">
        <v>447</v>
      </c>
      <c r="C6" s="1113"/>
      <c r="D6" s="1113"/>
      <c r="E6" s="1114"/>
    </row>
    <row r="7" spans="2:5" ht="36" customHeight="1" thickBot="1">
      <c r="B7" s="352"/>
      <c r="C7" s="353"/>
      <c r="D7" s="354" t="s">
        <v>499</v>
      </c>
      <c r="E7" s="355" t="s">
        <v>500</v>
      </c>
    </row>
    <row r="8" spans="2:5" ht="17.25" customHeight="1" thickBot="1">
      <c r="B8" s="356" t="s">
        <v>244</v>
      </c>
      <c r="C8" s="357"/>
      <c r="D8" s="358"/>
      <c r="E8" s="359"/>
    </row>
    <row r="9" spans="2:5" ht="12.75">
      <c r="B9" s="360" t="s">
        <v>245</v>
      </c>
      <c r="C9" s="361"/>
      <c r="D9" s="580">
        <f>+CPYG!E94</f>
        <v>-2056196.0099999977</v>
      </c>
      <c r="E9" s="581">
        <f>+CPYG!D94</f>
        <v>-1903196.01</v>
      </c>
    </row>
    <row r="10" spans="2:5" ht="12.75">
      <c r="B10" s="362" t="s">
        <v>246</v>
      </c>
      <c r="C10" s="363"/>
      <c r="D10" s="590">
        <f>SUM(D11:D21)</f>
        <v>-83564.3</v>
      </c>
      <c r="E10" s="722">
        <f>SUM(E11:E21)</f>
        <v>16078.36</v>
      </c>
    </row>
    <row r="11" spans="2:5" ht="12.75">
      <c r="B11" s="364" t="s">
        <v>247</v>
      </c>
      <c r="C11" s="363"/>
      <c r="D11" s="582">
        <v>-77739.77</v>
      </c>
      <c r="E11" s="583">
        <v>100412.8</v>
      </c>
    </row>
    <row r="12" spans="2:5" ht="12.75">
      <c r="B12" s="364" t="s">
        <v>248</v>
      </c>
      <c r="C12" s="363"/>
      <c r="D12" s="582"/>
      <c r="E12" s="583"/>
    </row>
    <row r="13" spans="2:5" ht="12.75">
      <c r="B13" s="364" t="s">
        <v>249</v>
      </c>
      <c r="C13" s="363"/>
      <c r="D13" s="582"/>
      <c r="E13" s="583"/>
    </row>
    <row r="14" spans="2:5" ht="12.75">
      <c r="B14" s="364" t="s">
        <v>250</v>
      </c>
      <c r="C14" s="363"/>
      <c r="D14" s="582">
        <v>-5824.53</v>
      </c>
      <c r="E14" s="583">
        <v>-5840.49</v>
      </c>
    </row>
    <row r="15" spans="2:5" ht="12.75">
      <c r="B15" s="364" t="s">
        <v>251</v>
      </c>
      <c r="C15" s="363"/>
      <c r="D15" s="582"/>
      <c r="E15" s="583"/>
    </row>
    <row r="16" spans="2:5" ht="12.75">
      <c r="B16" s="364" t="s">
        <v>252</v>
      </c>
      <c r="C16" s="363"/>
      <c r="D16" s="582"/>
      <c r="E16" s="583"/>
    </row>
    <row r="17" spans="2:5" ht="12.75">
      <c r="B17" s="364" t="s">
        <v>253</v>
      </c>
      <c r="C17" s="363"/>
      <c r="D17" s="582">
        <v>-3000</v>
      </c>
      <c r="E17" s="583">
        <v>-3000</v>
      </c>
    </row>
    <row r="18" spans="2:5" ht="12.75">
      <c r="B18" s="364" t="s">
        <v>254</v>
      </c>
      <c r="C18" s="363"/>
      <c r="D18" s="582">
        <v>3000</v>
      </c>
      <c r="E18" s="583">
        <v>3000</v>
      </c>
    </row>
    <row r="19" spans="2:5" ht="12.75">
      <c r="B19" s="364" t="s">
        <v>255</v>
      </c>
      <c r="C19" s="363"/>
      <c r="D19" s="582">
        <v>0</v>
      </c>
      <c r="E19" s="583">
        <v>-1948.27</v>
      </c>
    </row>
    <row r="20" spans="2:5" ht="12.75">
      <c r="B20" s="365" t="s">
        <v>256</v>
      </c>
      <c r="C20" s="363"/>
      <c r="D20" s="582"/>
      <c r="E20" s="583"/>
    </row>
    <row r="21" spans="2:5" ht="12.75">
      <c r="B21" s="365" t="s">
        <v>257</v>
      </c>
      <c r="C21" s="363"/>
      <c r="D21" s="582"/>
      <c r="E21" s="583">
        <v>-76545.68</v>
      </c>
    </row>
    <row r="22" spans="2:6" ht="12.75">
      <c r="B22" s="362" t="s">
        <v>258</v>
      </c>
      <c r="C22" s="363"/>
      <c r="D22" s="590">
        <f>SUM(D23:D28)</f>
        <v>-2896392.77</v>
      </c>
      <c r="E22" s="722">
        <f>SUM(E23:E28)</f>
        <v>-2212850.79</v>
      </c>
      <c r="F22" s="366"/>
    </row>
    <row r="23" spans="2:6" ht="12.75" customHeight="1">
      <c r="B23" s="364" t="s">
        <v>259</v>
      </c>
      <c r="C23" s="363"/>
      <c r="D23" s="582">
        <v>0</v>
      </c>
      <c r="E23" s="583">
        <v>-5506.2</v>
      </c>
      <c r="F23" s="366"/>
    </row>
    <row r="24" spans="2:6" ht="12.75" customHeight="1">
      <c r="B24" s="364" t="s">
        <v>260</v>
      </c>
      <c r="C24" s="363"/>
      <c r="D24" s="582">
        <v>463365.67</v>
      </c>
      <c r="E24" s="583">
        <v>-544918.26</v>
      </c>
      <c r="F24" s="366"/>
    </row>
    <row r="25" spans="2:6" ht="12.75" customHeight="1">
      <c r="B25" s="364" t="s">
        <v>261</v>
      </c>
      <c r="C25" s="363"/>
      <c r="D25" s="582"/>
      <c r="E25" s="583"/>
      <c r="F25" s="366"/>
    </row>
    <row r="26" spans="2:6" ht="12.75" customHeight="1">
      <c r="B26" s="364" t="s">
        <v>262</v>
      </c>
      <c r="C26" s="363"/>
      <c r="D26" s="582">
        <f>332798.43+1891.21</f>
        <v>334689.64</v>
      </c>
      <c r="E26" s="583">
        <f>1664907.52+1891.21</f>
        <v>1666798.73</v>
      </c>
      <c r="F26" s="366"/>
    </row>
    <row r="27" spans="2:6" ht="12.75" customHeight="1">
      <c r="B27" s="364" t="s">
        <v>263</v>
      </c>
      <c r="C27" s="363"/>
      <c r="D27" s="582">
        <v>17000</v>
      </c>
      <c r="E27" s="583">
        <v>-92000</v>
      </c>
      <c r="F27" s="366"/>
    </row>
    <row r="28" spans="2:6" ht="12.75" customHeight="1">
      <c r="B28" s="364" t="s">
        <v>264</v>
      </c>
      <c r="C28" s="363"/>
      <c r="D28" s="582">
        <f>17060.38-3749508.46+21000</f>
        <v>-3711448.08</v>
      </c>
      <c r="E28" s="583">
        <f>-4225.06-3208000-25000</f>
        <v>-3237225.06</v>
      </c>
      <c r="F28" s="366"/>
    </row>
    <row r="29" spans="2:6" ht="12.75">
      <c r="B29" s="362" t="s">
        <v>267</v>
      </c>
      <c r="C29" s="363"/>
      <c r="D29" s="590">
        <f>SUM(D30:D34)</f>
        <v>0</v>
      </c>
      <c r="E29" s="722">
        <f>SUM(E30:E34)</f>
        <v>0</v>
      </c>
      <c r="F29" s="366"/>
    </row>
    <row r="30" spans="2:6" ht="12.75" customHeight="1">
      <c r="B30" s="364" t="s">
        <v>268</v>
      </c>
      <c r="C30" s="363"/>
      <c r="D30" s="582"/>
      <c r="E30" s="583"/>
      <c r="F30" s="366"/>
    </row>
    <row r="31" spans="2:6" ht="12.75" customHeight="1">
      <c r="B31" s="364" t="s">
        <v>269</v>
      </c>
      <c r="C31" s="363"/>
      <c r="D31" s="582"/>
      <c r="E31" s="583"/>
      <c r="F31" s="366"/>
    </row>
    <row r="32" spans="2:5" ht="12.75" customHeight="1">
      <c r="B32" s="364" t="s">
        <v>270</v>
      </c>
      <c r="C32" s="363"/>
      <c r="D32" s="582"/>
      <c r="E32" s="583"/>
    </row>
    <row r="33" spans="2:5" ht="12.75" customHeight="1">
      <c r="B33" s="364" t="s">
        <v>271</v>
      </c>
      <c r="C33" s="363"/>
      <c r="D33" s="582"/>
      <c r="E33" s="583"/>
    </row>
    <row r="34" spans="2:5" ht="13.5" thickBot="1">
      <c r="B34" s="364" t="s">
        <v>272</v>
      </c>
      <c r="C34" s="367"/>
      <c r="D34" s="582"/>
      <c r="E34" s="583"/>
    </row>
    <row r="35" spans="2:5" ht="15" customHeight="1" thickBot="1" thickTop="1">
      <c r="B35" s="1115" t="s">
        <v>273</v>
      </c>
      <c r="C35" s="1116"/>
      <c r="D35" s="591">
        <f>D9+D10+D22+D29</f>
        <v>-5036153.079999998</v>
      </c>
      <c r="E35" s="592">
        <f>E9+E10+E22+E29</f>
        <v>-4099968.44</v>
      </c>
    </row>
    <row r="36" spans="2:5" ht="17.25" customHeight="1" thickBot="1">
      <c r="B36" s="356" t="s">
        <v>281</v>
      </c>
      <c r="C36" s="357"/>
      <c r="D36" s="593"/>
      <c r="E36" s="594"/>
    </row>
    <row r="37" spans="2:5" ht="12.75">
      <c r="B37" s="360" t="s">
        <v>282</v>
      </c>
      <c r="C37" s="368"/>
      <c r="D37" s="595">
        <f>SUM(D38:D45)</f>
        <v>-48894.3</v>
      </c>
      <c r="E37" s="723">
        <f>SUM(E38:E45)</f>
        <v>0</v>
      </c>
    </row>
    <row r="38" spans="2:5" ht="12.75">
      <c r="B38" s="364" t="s">
        <v>283</v>
      </c>
      <c r="C38" s="369"/>
      <c r="D38" s="582"/>
      <c r="E38" s="583"/>
    </row>
    <row r="39" spans="2:5" ht="12.75">
      <c r="B39" s="364" t="s">
        <v>284</v>
      </c>
      <c r="C39" s="369"/>
      <c r="D39" s="582">
        <v>-16148.69</v>
      </c>
      <c r="E39" s="583">
        <v>0</v>
      </c>
    </row>
    <row r="40" spans="2:5" ht="12.75">
      <c r="B40" s="364" t="s">
        <v>285</v>
      </c>
      <c r="C40" s="369"/>
      <c r="D40" s="582">
        <v>-32745.61</v>
      </c>
      <c r="E40" s="583">
        <v>0</v>
      </c>
    </row>
    <row r="41" spans="2:5" ht="12.75">
      <c r="B41" s="364" t="s">
        <v>286</v>
      </c>
      <c r="C41" s="369"/>
      <c r="D41" s="582"/>
      <c r="E41" s="583"/>
    </row>
    <row r="42" spans="2:5" ht="12.75">
      <c r="B42" s="364" t="s">
        <v>287</v>
      </c>
      <c r="C42" s="369"/>
      <c r="D42" s="582"/>
      <c r="E42" s="583"/>
    </row>
    <row r="43" spans="2:5" ht="12.75">
      <c r="B43" s="364" t="s">
        <v>288</v>
      </c>
      <c r="C43" s="369"/>
      <c r="D43" s="582"/>
      <c r="E43" s="583"/>
    </row>
    <row r="44" spans="2:5" ht="12.75">
      <c r="B44" s="364" t="s">
        <v>289</v>
      </c>
      <c r="C44" s="369"/>
      <c r="D44" s="582"/>
      <c r="E44" s="583"/>
    </row>
    <row r="45" spans="2:5" ht="12.75">
      <c r="B45" s="364" t="s">
        <v>290</v>
      </c>
      <c r="C45" s="369"/>
      <c r="D45" s="582"/>
      <c r="E45" s="583"/>
    </row>
    <row r="46" spans="2:5" ht="12.75">
      <c r="B46" s="362" t="s">
        <v>291</v>
      </c>
      <c r="C46" s="369"/>
      <c r="D46" s="590">
        <f>SUM(D47:D54)</f>
        <v>3208000</v>
      </c>
      <c r="E46" s="722">
        <f>SUM(E47:E54)</f>
        <v>2271330.66</v>
      </c>
    </row>
    <row r="47" spans="2:5" ht="12.75">
      <c r="B47" s="364" t="s">
        <v>292</v>
      </c>
      <c r="C47" s="369"/>
      <c r="D47" s="582"/>
      <c r="E47" s="583"/>
    </row>
    <row r="48" spans="2:5" ht="12.75">
      <c r="B48" s="364" t="s">
        <v>284</v>
      </c>
      <c r="C48" s="369"/>
      <c r="D48" s="582"/>
      <c r="E48" s="583"/>
    </row>
    <row r="49" spans="2:5" ht="12.75">
      <c r="B49" s="364" t="s">
        <v>285</v>
      </c>
      <c r="C49" s="369"/>
      <c r="D49" s="582"/>
      <c r="E49" s="583"/>
    </row>
    <row r="50" spans="2:5" ht="12.75">
      <c r="B50" s="364" t="s">
        <v>286</v>
      </c>
      <c r="C50" s="369"/>
      <c r="D50" s="582"/>
      <c r="E50" s="583"/>
    </row>
    <row r="51" spans="2:5" ht="12.75">
      <c r="B51" s="364" t="s">
        <v>287</v>
      </c>
      <c r="C51" s="369"/>
      <c r="D51" s="582">
        <v>3208000</v>
      </c>
      <c r="E51" s="583">
        <f>-3208000+5479330.66</f>
        <v>2271330.66</v>
      </c>
    </row>
    <row r="52" spans="2:5" ht="12.75">
      <c r="B52" s="364" t="s">
        <v>288</v>
      </c>
      <c r="C52" s="369"/>
      <c r="D52" s="582"/>
      <c r="E52" s="583"/>
    </row>
    <row r="53" spans="2:5" ht="12.75">
      <c r="B53" s="364" t="s">
        <v>289</v>
      </c>
      <c r="C53" s="369"/>
      <c r="D53" s="582"/>
      <c r="E53" s="583"/>
    </row>
    <row r="54" spans="2:5" ht="12.75">
      <c r="B54" s="364" t="s">
        <v>290</v>
      </c>
      <c r="C54" s="369"/>
      <c r="D54" s="582"/>
      <c r="E54" s="583"/>
    </row>
    <row r="55" spans="2:5" ht="13.5" thickBot="1">
      <c r="B55" s="370" t="s">
        <v>293</v>
      </c>
      <c r="C55" s="371"/>
      <c r="D55" s="591">
        <f>D37+D46</f>
        <v>3159105.7</v>
      </c>
      <c r="E55" s="592">
        <f>E37+E46</f>
        <v>2271330.66</v>
      </c>
    </row>
    <row r="56" spans="2:5" ht="17.25" customHeight="1" thickBot="1">
      <c r="B56" s="356" t="s">
        <v>294</v>
      </c>
      <c r="C56" s="357"/>
      <c r="D56" s="593"/>
      <c r="E56" s="594"/>
    </row>
    <row r="57" spans="2:5" ht="12.75">
      <c r="B57" s="372" t="s">
        <v>295</v>
      </c>
      <c r="C57" s="373"/>
      <c r="D57" s="596">
        <f>SUM(D58:D63)</f>
        <v>2035196.01</v>
      </c>
      <c r="E57" s="724">
        <f>SUM(E58:E63)</f>
        <v>1903196.01</v>
      </c>
    </row>
    <row r="58" spans="2:5" ht="12.75">
      <c r="B58" s="364" t="s">
        <v>296</v>
      </c>
      <c r="C58" s="369"/>
      <c r="D58" s="582"/>
      <c r="E58" s="583"/>
    </row>
    <row r="59" spans="2:5" ht="12.75">
      <c r="B59" s="364" t="s">
        <v>297</v>
      </c>
      <c r="C59" s="369"/>
      <c r="D59" s="582"/>
      <c r="E59" s="583"/>
    </row>
    <row r="60" spans="2:5" ht="12.75">
      <c r="B60" s="364" t="s">
        <v>298</v>
      </c>
      <c r="C60" s="369"/>
      <c r="D60" s="582"/>
      <c r="E60" s="583"/>
    </row>
    <row r="61" spans="2:5" ht="12.75">
      <c r="B61" s="364" t="s">
        <v>299</v>
      </c>
      <c r="C61" s="369"/>
      <c r="D61" s="582"/>
      <c r="E61" s="583"/>
    </row>
    <row r="62" spans="2:5" ht="12.75" customHeight="1">
      <c r="B62" s="364" t="s">
        <v>300</v>
      </c>
      <c r="C62" s="369"/>
      <c r="D62" s="582"/>
      <c r="E62" s="583"/>
    </row>
    <row r="63" spans="2:5" ht="12.75" customHeight="1">
      <c r="B63" s="364" t="s">
        <v>943</v>
      </c>
      <c r="C63" s="369"/>
      <c r="D63" s="582">
        <f>1903196.01+132000</f>
        <v>2035196.01</v>
      </c>
      <c r="E63" s="583">
        <v>1903196.01</v>
      </c>
    </row>
    <row r="64" spans="2:5" ht="12.75">
      <c r="B64" s="362" t="s">
        <v>301</v>
      </c>
      <c r="C64" s="369"/>
      <c r="D64" s="590">
        <f>D65+D71</f>
        <v>-26849.12</v>
      </c>
      <c r="E64" s="722">
        <f>E65+E71</f>
        <v>-40549.96</v>
      </c>
    </row>
    <row r="65" spans="2:5" ht="12.75">
      <c r="B65" s="364" t="s">
        <v>302</v>
      </c>
      <c r="C65" s="369"/>
      <c r="D65" s="590">
        <f>SUM(D66:D70)</f>
        <v>0</v>
      </c>
      <c r="E65" s="722">
        <f>SUM(E66:E70)</f>
        <v>0</v>
      </c>
    </row>
    <row r="66" spans="2:5" ht="12.75" customHeight="1">
      <c r="B66" s="364" t="s">
        <v>303</v>
      </c>
      <c r="C66" s="369"/>
      <c r="D66" s="582"/>
      <c r="E66" s="583"/>
    </row>
    <row r="67" spans="2:5" ht="12.75" customHeight="1">
      <c r="B67" s="364" t="s">
        <v>304</v>
      </c>
      <c r="C67" s="369"/>
      <c r="D67" s="582"/>
      <c r="E67" s="583"/>
    </row>
    <row r="68" spans="2:5" ht="12.75" customHeight="1">
      <c r="B68" s="364" t="s">
        <v>305</v>
      </c>
      <c r="C68" s="369"/>
      <c r="D68" s="582"/>
      <c r="E68" s="583"/>
    </row>
    <row r="69" spans="2:5" ht="12.75" customHeight="1">
      <c r="B69" s="364" t="s">
        <v>306</v>
      </c>
      <c r="C69" s="369"/>
      <c r="D69" s="582"/>
      <c r="E69" s="583"/>
    </row>
    <row r="70" spans="2:5" ht="12.75" customHeight="1">
      <c r="B70" s="364" t="s">
        <v>307</v>
      </c>
      <c r="C70" s="369"/>
      <c r="D70" s="582"/>
      <c r="E70" s="583"/>
    </row>
    <row r="71" spans="2:5" ht="12.75">
      <c r="B71" s="364" t="s">
        <v>308</v>
      </c>
      <c r="C71" s="369"/>
      <c r="D71" s="590">
        <f>SUM(D72:D76)</f>
        <v>-26849.12</v>
      </c>
      <c r="E71" s="722">
        <f>SUM(E72:E76)</f>
        <v>-40549.96</v>
      </c>
    </row>
    <row r="72" spans="2:5" ht="12.75" customHeight="1">
      <c r="B72" s="364" t="s">
        <v>309</v>
      </c>
      <c r="C72" s="369"/>
      <c r="D72" s="582"/>
      <c r="E72" s="583"/>
    </row>
    <row r="73" spans="2:5" ht="12.75" customHeight="1">
      <c r="B73" s="364" t="s">
        <v>310</v>
      </c>
      <c r="C73" s="369"/>
      <c r="D73" s="582">
        <f>-24957.91-1891.21</f>
        <v>-26849.12</v>
      </c>
      <c r="E73" s="583">
        <f>-38658.75-1891.21</f>
        <v>-40549.96</v>
      </c>
    </row>
    <row r="74" spans="2:5" ht="12.75" customHeight="1">
      <c r="B74" s="364" t="s">
        <v>311</v>
      </c>
      <c r="C74" s="369"/>
      <c r="D74" s="582"/>
      <c r="E74" s="583"/>
    </row>
    <row r="75" spans="2:5" ht="12.75" customHeight="1">
      <c r="B75" s="364" t="s">
        <v>312</v>
      </c>
      <c r="C75" s="369"/>
      <c r="D75" s="582"/>
      <c r="E75" s="583"/>
    </row>
    <row r="76" spans="2:5" ht="12.75" customHeight="1">
      <c r="B76" s="364" t="s">
        <v>313</v>
      </c>
      <c r="C76" s="369"/>
      <c r="D76" s="582"/>
      <c r="E76" s="583"/>
    </row>
    <row r="77" spans="2:5" ht="25.5">
      <c r="B77" s="362" t="s">
        <v>314</v>
      </c>
      <c r="C77" s="369"/>
      <c r="D77" s="590">
        <f>SUM(D78:D79)</f>
        <v>0</v>
      </c>
      <c r="E77" s="722">
        <f>SUM(E78:E79)</f>
        <v>0</v>
      </c>
    </row>
    <row r="78" spans="2:5" ht="15" customHeight="1">
      <c r="B78" s="364" t="s">
        <v>315</v>
      </c>
      <c r="C78" s="374" t="s">
        <v>296</v>
      </c>
      <c r="D78" s="582"/>
      <c r="E78" s="583"/>
    </row>
    <row r="79" spans="2:5" ht="12.75">
      <c r="B79" s="364" t="s">
        <v>316</v>
      </c>
      <c r="C79" s="374" t="s">
        <v>297</v>
      </c>
      <c r="D79" s="582"/>
      <c r="E79" s="583"/>
    </row>
    <row r="80" spans="2:5" ht="23.25" customHeight="1" thickBot="1">
      <c r="B80" s="1105" t="s">
        <v>317</v>
      </c>
      <c r="C80" s="1106"/>
      <c r="D80" s="597">
        <f>D57+D64+D77</f>
        <v>2008346.89</v>
      </c>
      <c r="E80" s="598">
        <f>E57+E64+E77</f>
        <v>1862646.05</v>
      </c>
    </row>
    <row r="81" spans="2:5" ht="17.25" customHeight="1" thickBot="1">
      <c r="B81" s="375" t="s">
        <v>318</v>
      </c>
      <c r="C81" s="376"/>
      <c r="D81" s="584"/>
      <c r="E81" s="585">
        <v>1948.27</v>
      </c>
    </row>
    <row r="82" spans="2:5" ht="25.5" customHeight="1" thickBot="1">
      <c r="B82" s="377" t="s">
        <v>319</v>
      </c>
      <c r="C82" s="378"/>
      <c r="D82" s="599">
        <f>D35+D55+D80+D81</f>
        <v>131299.51000000187</v>
      </c>
      <c r="E82" s="600">
        <f>E35+E55+E80+E81</f>
        <v>35956.54000000025</v>
      </c>
    </row>
    <row r="83" spans="2:5" ht="12.75">
      <c r="B83" s="379" t="s">
        <v>320</v>
      </c>
      <c r="C83" s="380"/>
      <c r="D83" s="586">
        <f>+E84</f>
        <v>583700.49</v>
      </c>
      <c r="E83" s="587">
        <v>547743.95</v>
      </c>
    </row>
    <row r="84" spans="2:5" ht="13.5" customHeight="1" thickBot="1">
      <c r="B84" s="381" t="s">
        <v>321</v>
      </c>
      <c r="C84" s="382"/>
      <c r="D84" s="588">
        <v>715000</v>
      </c>
      <c r="E84" s="589">
        <v>583700.49</v>
      </c>
    </row>
    <row r="85" spans="4:5" ht="12.75" hidden="1">
      <c r="D85" s="347">
        <f>+D84-D83</f>
        <v>131299.51</v>
      </c>
      <c r="E85" s="347">
        <f>+E84-E83</f>
        <v>35956.54000000004</v>
      </c>
    </row>
    <row r="86" spans="4:5" ht="12.75" hidden="1">
      <c r="D86" s="383">
        <f>+D82-D85</f>
        <v>1.862645149230957E-09</v>
      </c>
      <c r="E86" s="383">
        <f>+E82-E85</f>
        <v>2.1100277081131935E-10</v>
      </c>
    </row>
    <row r="87" spans="4:5" ht="12.75">
      <c r="D87" s="383"/>
      <c r="E87" s="383"/>
    </row>
    <row r="88" spans="4:5" ht="12.75">
      <c r="D88" s="383"/>
      <c r="E88" s="383"/>
    </row>
    <row r="89" spans="4:5" ht="12.75">
      <c r="D89" s="383"/>
      <c r="E89" s="383"/>
    </row>
    <row r="90" spans="4:5" ht="12.75">
      <c r="D90" s="383"/>
      <c r="E90" s="383"/>
    </row>
    <row r="91" spans="4:5" ht="12.75">
      <c r="D91" s="383"/>
      <c r="E91" s="383"/>
    </row>
    <row r="92" spans="4:5" ht="12.75">
      <c r="D92" s="383"/>
      <c r="E92" s="383"/>
    </row>
    <row r="93" spans="4:5" ht="12.75">
      <c r="D93" s="383"/>
      <c r="E93" s="383"/>
    </row>
    <row r="94" spans="4:5" ht="12.75">
      <c r="D94" s="383"/>
      <c r="E94" s="383"/>
    </row>
    <row r="95" spans="4:5" ht="12.75">
      <c r="D95" s="383"/>
      <c r="E95" s="383"/>
    </row>
    <row r="96" spans="4:5" ht="12.75">
      <c r="D96" s="383"/>
      <c r="E96" s="383"/>
    </row>
    <row r="97" spans="4:5" ht="12.75">
      <c r="D97" s="383"/>
      <c r="E97" s="383"/>
    </row>
    <row r="98" spans="4:5" ht="12.75">
      <c r="D98" s="383"/>
      <c r="E98" s="383"/>
    </row>
    <row r="99" spans="4:5" ht="12.75">
      <c r="D99" s="383"/>
      <c r="E99" s="383"/>
    </row>
  </sheetData>
  <sheetProtection/>
  <mergeCells count="5">
    <mergeCell ref="B80:C80"/>
    <mergeCell ref="B4:D4"/>
    <mergeCell ref="B5:D5"/>
    <mergeCell ref="B6:E6"/>
    <mergeCell ref="B35:C35"/>
  </mergeCells>
  <printOptions horizontalCentered="1" verticalCentered="1"/>
  <pageMargins left="0.35433070866141736" right="0.4330708661417323" top="0.5905511811023623" bottom="0.31496062992125984" header="0.5118110236220472" footer="0.2755905511811024"/>
  <pageSetup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2017-01-30T09:50:32Z</cp:lastPrinted>
  <dcterms:created xsi:type="dcterms:W3CDTF">2004-09-28T16:33:32Z</dcterms:created>
  <dcterms:modified xsi:type="dcterms:W3CDTF">2017-02-14T09:09:32Z</dcterms:modified>
  <cp:category/>
  <cp:version/>
  <cp:contentType/>
  <cp:contentStatus/>
</cp:coreProperties>
</file>