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295" yWindow="-195" windowWidth="18825" windowHeight="12600" tabRatio="879" firstSheet="3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5" l="1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F181" i="41"/>
  <c r="F182" i="41"/>
  <c r="F90" i="9"/>
  <c r="G90" i="9"/>
  <c r="F183" i="41"/>
  <c r="F178" i="41"/>
  <c r="G178" i="41"/>
  <c r="H178" i="41"/>
  <c r="F184" i="41"/>
  <c r="H184" i="41"/>
  <c r="G44" i="14"/>
  <c r="F44" i="14"/>
  <c r="F186" i="41"/>
  <c r="F187" i="41"/>
  <c r="F188" i="41"/>
  <c r="G74" i="14"/>
  <c r="G73" i="14"/>
  <c r="F74" i="14"/>
  <c r="F73" i="14"/>
  <c r="F189" i="41"/>
  <c r="G63" i="14"/>
  <c r="F63" i="14"/>
  <c r="F190" i="41"/>
  <c r="F191" i="41"/>
  <c r="F185" i="41"/>
  <c r="G185" i="41"/>
  <c r="H185" i="41"/>
  <c r="F193" i="41"/>
  <c r="F192" i="41"/>
  <c r="G192" i="41"/>
  <c r="H192" i="41"/>
  <c r="F194" i="41"/>
  <c r="G194" i="41"/>
  <c r="H194" i="41"/>
  <c r="H168" i="41"/>
  <c r="E61" i="34"/>
  <c r="H16" i="41"/>
  <c r="E16" i="34"/>
  <c r="H17" i="41"/>
  <c r="E17" i="34"/>
  <c r="G16" i="7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18" i="34"/>
  <c r="E27" i="41"/>
  <c r="H27" i="41"/>
  <c r="H64" i="39"/>
  <c r="F28" i="41"/>
  <c r="H28" i="41"/>
  <c r="H29" i="41"/>
  <c r="H30" i="41"/>
  <c r="H26" i="41"/>
  <c r="E19" i="34"/>
  <c r="E32" i="41"/>
  <c r="H32" i="41"/>
  <c r="G52" i="7"/>
  <c r="E33" i="41"/>
  <c r="H33" i="41"/>
  <c r="G55" i="7"/>
  <c r="E34" i="41"/>
  <c r="H34" i="41"/>
  <c r="E35" i="41"/>
  <c r="H35" i="41"/>
  <c r="E36" i="41"/>
  <c r="H36" i="41"/>
  <c r="H37" i="41"/>
  <c r="H38" i="41"/>
  <c r="H31" i="41"/>
  <c r="E20" i="34"/>
  <c r="E21" i="34"/>
  <c r="K31" i="15"/>
  <c r="F42" i="41"/>
  <c r="H42" i="41"/>
  <c r="H43" i="41"/>
  <c r="H44" i="41"/>
  <c r="H41" i="41"/>
  <c r="E23" i="34"/>
  <c r="I31" i="39"/>
  <c r="F46" i="41"/>
  <c r="H46" i="41"/>
  <c r="F39" i="42"/>
  <c r="F43" i="42"/>
  <c r="F49" i="42"/>
  <c r="F38" i="42"/>
  <c r="F47" i="41"/>
  <c r="H47" i="41"/>
  <c r="H48" i="41"/>
  <c r="H49" i="41"/>
  <c r="H45" i="41"/>
  <c r="E24" i="34"/>
  <c r="E25" i="34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H59" i="41"/>
  <c r="E28" i="34"/>
  <c r="E29" i="34"/>
  <c r="E31" i="34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H72" i="41"/>
  <c r="E33" i="34"/>
  <c r="E35" i="34"/>
  <c r="G30" i="7"/>
  <c r="E88" i="41"/>
  <c r="H88" i="41"/>
  <c r="E89" i="41"/>
  <c r="H89" i="41"/>
  <c r="H90" i="41"/>
  <c r="H91" i="41"/>
  <c r="H87" i="41"/>
  <c r="E39" i="34"/>
  <c r="G22" i="7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H100" i="41"/>
  <c r="G85" i="36"/>
  <c r="E101" i="41"/>
  <c r="H101" i="41"/>
  <c r="H102" i="41"/>
  <c r="H103" i="41"/>
  <c r="H104" i="41"/>
  <c r="H92" i="41"/>
  <c r="E40" i="34"/>
  <c r="E106" i="41"/>
  <c r="H106" i="41"/>
  <c r="E107" i="41"/>
  <c r="H107" i="41"/>
  <c r="E108" i="41"/>
  <c r="H108" i="41"/>
  <c r="H109" i="41"/>
  <c r="H110" i="41"/>
  <c r="H105" i="41"/>
  <c r="E41" i="34"/>
  <c r="E112" i="41"/>
  <c r="H112" i="41"/>
  <c r="H113" i="41"/>
  <c r="H114" i="41"/>
  <c r="H111" i="41"/>
  <c r="E42" i="34"/>
  <c r="E43" i="34"/>
  <c r="F31" i="15"/>
  <c r="F118" i="41"/>
  <c r="H118" i="41"/>
  <c r="H31" i="15"/>
  <c r="F119" i="41"/>
  <c r="H119" i="41"/>
  <c r="H120" i="41"/>
  <c r="H121" i="41"/>
  <c r="H117" i="41"/>
  <c r="E45" i="34"/>
  <c r="G39" i="42"/>
  <c r="G43" i="42"/>
  <c r="G49" i="42"/>
  <c r="G38" i="42"/>
  <c r="F123" i="41"/>
  <c r="H123" i="41"/>
  <c r="H124" i="41"/>
  <c r="H125" i="41"/>
  <c r="H122" i="41"/>
  <c r="E46" i="34"/>
  <c r="E47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N75" i="23"/>
  <c r="F139" i="41"/>
  <c r="H139" i="41"/>
  <c r="N107" i="23"/>
  <c r="F140" i="41"/>
  <c r="H140" i="41"/>
  <c r="H141" i="41"/>
  <c r="H142" i="41"/>
  <c r="H143" i="41"/>
  <c r="H135" i="41"/>
  <c r="E50" i="34"/>
  <c r="E51" i="34"/>
  <c r="E53" i="34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H151" i="41"/>
  <c r="E55" i="34"/>
  <c r="E57" i="34"/>
  <c r="E59" i="34"/>
  <c r="E63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E105" i="41"/>
  <c r="E117" i="41"/>
  <c r="E122" i="41"/>
  <c r="E126" i="41"/>
  <c r="E128" i="41"/>
  <c r="E135" i="41"/>
  <c r="E144" i="41"/>
  <c r="H31" i="39"/>
  <c r="H34" i="39"/>
  <c r="K19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G28" i="14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L18" i="42"/>
  <c r="E40" i="42"/>
  <c r="E19" i="42"/>
  <c r="L19" i="42"/>
  <c r="E41" i="42"/>
  <c r="L41" i="42"/>
  <c r="G18" i="14"/>
  <c r="F30" i="37"/>
  <c r="F28" i="14"/>
  <c r="L21" i="42"/>
  <c r="F22" i="14"/>
  <c r="F24" i="37"/>
  <c r="L17" i="42"/>
  <c r="F18" i="14"/>
  <c r="F22" i="37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G75" i="9"/>
  <c r="G82" i="9"/>
  <c r="G50" i="9"/>
  <c r="G17" i="9"/>
  <c r="G26" i="9"/>
  <c r="G33" i="9"/>
  <c r="G40" i="9"/>
  <c r="G30" i="9"/>
  <c r="G16" i="9"/>
  <c r="G94" i="9"/>
  <c r="G17" i="14"/>
  <c r="G35" i="14"/>
  <c r="G16" i="14"/>
  <c r="G49" i="14"/>
  <c r="G43" i="14"/>
  <c r="G66" i="14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18" i="14"/>
  <c r="E22" i="14"/>
  <c r="E28" i="14"/>
  <c r="E17" i="14"/>
  <c r="E35" i="14"/>
  <c r="E1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G51" i="7"/>
  <c r="G59" i="7"/>
  <c r="G70" i="7"/>
  <c r="F52" i="7"/>
  <c r="F55" i="7"/>
  <c r="F51" i="7"/>
  <c r="F59" i="7"/>
  <c r="F63" i="7"/>
  <c r="F67" i="7"/>
  <c r="F70" i="7"/>
  <c r="F74" i="7"/>
  <c r="E52" i="7"/>
  <c r="E55" i="7"/>
  <c r="E51" i="7"/>
  <c r="E59" i="7"/>
  <c r="E67" i="7"/>
  <c r="E63" i="7"/>
  <c r="E70" i="7"/>
  <c r="E74" i="7"/>
  <c r="H49" i="39"/>
  <c r="G46" i="37"/>
  <c r="G49" i="39"/>
  <c r="F46" i="37"/>
  <c r="G168" i="41"/>
  <c r="D9" i="41"/>
  <c r="H6" i="41"/>
  <c r="G52" i="37"/>
  <c r="K107" i="23"/>
  <c r="P43" i="23"/>
  <c r="O43" i="23"/>
  <c r="L43" i="23"/>
  <c r="K43" i="23"/>
  <c r="J31" i="39"/>
  <c r="K31" i="39"/>
  <c r="G43" i="37"/>
  <c r="F31" i="39"/>
  <c r="F43" i="37"/>
  <c r="K34" i="39"/>
  <c r="I33" i="39"/>
  <c r="F33" i="39"/>
  <c r="F34" i="39"/>
  <c r="M31" i="39"/>
  <c r="L31" i="39"/>
  <c r="J16" i="39"/>
  <c r="G16" i="39"/>
  <c r="C12" i="12"/>
  <c r="G27" i="7"/>
  <c r="G34" i="7"/>
  <c r="G43" i="7"/>
  <c r="G49" i="7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F16" i="7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16" i="7"/>
  <c r="E22" i="7"/>
  <c r="E27" i="7"/>
  <c r="E30" i="7"/>
  <c r="E34" i="7"/>
  <c r="E43" i="7"/>
  <c r="E49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78" i="39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44" i="37"/>
  <c r="K44" i="37"/>
  <c r="I19" i="39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E55" i="36"/>
  <c r="E47" i="36"/>
  <c r="K32" i="36"/>
  <c r="K36" i="36"/>
  <c r="K31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M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20" i="29"/>
  <c r="E17" i="31"/>
  <c r="E25" i="31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F30" i="36"/>
  <c r="F43" i="36"/>
  <c r="L30" i="36"/>
  <c r="K43" i="36"/>
  <c r="G18" i="37"/>
  <c r="L18" i="37"/>
  <c r="E27" i="15"/>
  <c r="M27" i="15"/>
  <c r="G34" i="37"/>
  <c r="L34" i="37"/>
  <c r="F34" i="37"/>
  <c r="K34" i="37"/>
  <c r="M47" i="37"/>
  <c r="E16" i="31"/>
  <c r="L43" i="36"/>
  <c r="H43" i="36"/>
  <c r="F18" i="37"/>
  <c r="K18" i="37"/>
  <c r="G35" i="37"/>
  <c r="L35" i="37"/>
  <c r="E76" i="7"/>
  <c r="E43" i="14"/>
  <c r="E86" i="14"/>
  <c r="M20" i="37"/>
  <c r="E26" i="15"/>
  <c r="F33" i="37"/>
  <c r="K33" i="37"/>
  <c r="G82" i="41"/>
  <c r="G166" i="41"/>
  <c r="G148" i="41"/>
  <c r="E87" i="41"/>
  <c r="F50" i="9"/>
  <c r="F94" i="9"/>
  <c r="F23" i="37"/>
  <c r="E42" i="42"/>
  <c r="L42" i="42"/>
  <c r="G23" i="37"/>
  <c r="F135" i="41"/>
  <c r="F122" i="41"/>
  <c r="F126" i="41"/>
  <c r="F128" i="41"/>
  <c r="F144" i="41"/>
  <c r="F146" i="41"/>
  <c r="F164" i="41"/>
  <c r="F49" i="7"/>
  <c r="F76" i="7"/>
  <c r="G74" i="7"/>
  <c r="G76" i="7"/>
  <c r="E16" i="9"/>
  <c r="E94" i="9"/>
  <c r="E15" i="37"/>
  <c r="J15" i="37"/>
  <c r="L50" i="42"/>
  <c r="E54" i="42"/>
  <c r="L54" i="42"/>
  <c r="G29" i="37"/>
  <c r="F29" i="37"/>
  <c r="G61" i="14"/>
  <c r="G86" i="14"/>
  <c r="G15" i="37"/>
  <c r="L15" i="37"/>
  <c r="F36" i="37"/>
  <c r="K36" i="37"/>
  <c r="M36" i="37"/>
  <c r="F45" i="41"/>
  <c r="E92" i="41"/>
  <c r="Q75" i="23"/>
  <c r="S75" i="23"/>
  <c r="G54" i="37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J34" i="39"/>
  <c r="F35" i="37"/>
  <c r="K35" i="37"/>
  <c r="M35" i="37"/>
  <c r="F59" i="41"/>
  <c r="F68" i="41"/>
  <c r="F26" i="41"/>
  <c r="F39" i="41"/>
  <c r="F41" i="41"/>
  <c r="F50" i="41"/>
  <c r="F70" i="41"/>
  <c r="E18" i="41"/>
  <c r="E31" i="41"/>
  <c r="E39" i="41"/>
  <c r="E70" i="41"/>
  <c r="E72" i="41"/>
  <c r="G22" i="37"/>
  <c r="F27" i="37"/>
  <c r="E52" i="42"/>
  <c r="L52" i="42"/>
  <c r="G27" i="37"/>
  <c r="E151" i="41"/>
  <c r="F148" i="41"/>
  <c r="F82" i="41"/>
  <c r="F166" i="41"/>
  <c r="E94" i="14"/>
  <c r="E82" i="41"/>
  <c r="P65" i="42"/>
  <c r="G94" i="14"/>
  <c r="G16" i="12"/>
  <c r="G42" i="12"/>
  <c r="G92" i="12"/>
  <c r="F17" i="37"/>
  <c r="K17" i="37"/>
  <c r="F79" i="7"/>
  <c r="F84" i="7"/>
  <c r="H39" i="41"/>
  <c r="H144" i="41"/>
  <c r="I34" i="39"/>
  <c r="G44" i="37"/>
  <c r="L44" i="37"/>
  <c r="M44" i="37"/>
  <c r="H126" i="41"/>
  <c r="H16" i="12"/>
  <c r="H42" i="12"/>
  <c r="H92" i="12"/>
  <c r="G17" i="37"/>
  <c r="L17" i="37"/>
  <c r="G79" i="7"/>
  <c r="G84" i="7"/>
  <c r="F16" i="12"/>
  <c r="F42" i="12"/>
  <c r="F92" i="12"/>
  <c r="E17" i="37"/>
  <c r="J17" i="37"/>
  <c r="E79" i="7"/>
  <c r="E84" i="7"/>
  <c r="E16" i="37"/>
  <c r="J16" i="37"/>
  <c r="F15" i="37"/>
  <c r="K15" i="37"/>
  <c r="H50" i="41"/>
  <c r="F168" i="41"/>
  <c r="M26" i="15"/>
  <c r="E31" i="15"/>
  <c r="M34" i="37"/>
  <c r="H68" i="41"/>
  <c r="H70" i="41"/>
  <c r="I27" i="42"/>
  <c r="I16" i="42"/>
  <c r="L29" i="42"/>
  <c r="E220" i="41"/>
  <c r="E111" i="41"/>
  <c r="E115" i="41"/>
  <c r="E146" i="41"/>
  <c r="E33" i="31"/>
  <c r="F16" i="31"/>
  <c r="M18" i="37"/>
  <c r="E164" i="41"/>
  <c r="E148" i="41"/>
  <c r="H82" i="41"/>
  <c r="M31" i="15"/>
  <c r="G33" i="37"/>
  <c r="L33" i="37"/>
  <c r="M33" i="37"/>
  <c r="O65" i="42"/>
  <c r="F94" i="14"/>
  <c r="E51" i="42"/>
  <c r="L27" i="42"/>
  <c r="F16" i="37"/>
  <c r="K16" i="37"/>
  <c r="G16" i="37"/>
  <c r="L16" i="37"/>
  <c r="M16" i="37"/>
  <c r="F29" i="31"/>
  <c r="F24" i="31"/>
  <c r="F28" i="31"/>
  <c r="F31" i="31"/>
  <c r="F26" i="31"/>
  <c r="F33" i="31"/>
  <c r="F30" i="31"/>
  <c r="F25" i="31"/>
  <c r="F19" i="31"/>
  <c r="F17" i="31"/>
  <c r="F23" i="31"/>
  <c r="F21" i="31"/>
  <c r="F18" i="31"/>
  <c r="H115" i="41"/>
  <c r="H146" i="41"/>
  <c r="H164" i="41"/>
  <c r="E166" i="41"/>
  <c r="E215" i="41"/>
  <c r="E216" i="41"/>
  <c r="E217" i="41"/>
  <c r="M17" i="37"/>
  <c r="K38" i="42"/>
  <c r="G58" i="37"/>
  <c r="L58" i="37"/>
  <c r="M58" i="37"/>
  <c r="M15" i="37"/>
  <c r="L31" i="42"/>
  <c r="K16" i="42"/>
  <c r="H148" i="41"/>
  <c r="H166" i="41"/>
  <c r="E219" i="41"/>
  <c r="E221" i="41"/>
  <c r="F26" i="37"/>
  <c r="L16" i="42"/>
  <c r="E49" i="42"/>
  <c r="E53" i="42"/>
  <c r="E38" i="42"/>
  <c r="F28" i="37"/>
  <c r="L53" i="42"/>
  <c r="G28" i="37"/>
  <c r="I49" i="42"/>
  <c r="I38" i="42"/>
  <c r="L51" i="42"/>
  <c r="L49" i="42"/>
  <c r="G26" i="37"/>
  <c r="L38" i="42"/>
</calcChain>
</file>

<file path=xl/sharedStrings.xml><?xml version="1.0" encoding="utf-8"?>
<sst xmlns="http://schemas.openxmlformats.org/spreadsheetml/2006/main" count="2066" uniqueCount="1075">
  <si>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</si>
  <si>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</si>
  <si>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</si>
  <si>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</si>
  <si>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</si>
  <si>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</si>
  <si>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</si>
  <si>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</si>
  <si>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</si>
  <si>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</si>
  <si>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</si>
  <si>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</si>
  <si>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</si>
  <si>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</si>
  <si>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</si>
  <si>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</si>
  <si>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</si>
  <si>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</si>
  <si>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</si>
  <si>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</si>
  <si>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</si>
  <si>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</si>
  <si>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</si>
  <si>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</si>
  <si>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</si>
  <si>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</si>
  <si>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</si>
  <si>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</si>
  <si>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</si>
  <si>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</si>
  <si>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</si>
  <si>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</si>
  <si>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</si>
  <si>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</si>
  <si>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</si>
  <si>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</si>
  <si>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</si>
  <si>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</si>
  <si>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</si>
  <si>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</si>
  <si>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</si>
  <si>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</si>
  <si>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</si>
  <si>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</si>
  <si>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</si>
  <si>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</si>
  <si>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</si>
  <si>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</si>
  <si>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</si>
  <si>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</si>
  <si>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</si>
  <si>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</si>
  <si>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</si>
  <si>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</si>
  <si>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</si>
  <si>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</si>
  <si>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</si>
  <si>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</si>
  <si>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</si>
  <si>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</si>
  <si>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</si>
  <si>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</si>
  <si>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</si>
  <si>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</si>
  <si>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</si>
  <si>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</si>
  <si>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</si>
  <si>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</si>
  <si>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</si>
  <si>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</si>
  <si>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</si>
  <si>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</si>
  <si>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</si>
  <si>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</si>
  <si>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</si>
  <si>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</si>
  <si>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</si>
  <si>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</si>
  <si>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</si>
  <si>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</si>
  <si>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</si>
  <si>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</si>
  <si>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</si>
  <si>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</si>
  <si>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</si>
  <si>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</si>
  <si>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</si>
  <si>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</si>
  <si>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</si>
  <si>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</si>
  <si>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</si>
  <si>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</si>
  <si>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</si>
  <si>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</si>
  <si>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</si>
  <si>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</si>
  <si>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</si>
  <si>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</si>
  <si>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</si>
  <si>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</si>
  <si>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</si>
  <si>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</si>
  <si>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</si>
  <si>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</si>
  <si>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</si>
  <si>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</si>
  <si>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</si>
  <si>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</si>
  <si>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</si>
  <si>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</si>
  <si>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</si>
  <si>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</si>
  <si>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</si>
  <si>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</si>
  <si>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</si>
  <si>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</si>
  <si>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</si>
  <si>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</si>
  <si>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</si>
  <si>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</si>
  <si>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</si>
  <si>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</si>
  <si>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</si>
  <si>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</si>
  <si>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</si>
  <si>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</si>
  <si>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</si>
  <si>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</si>
  <si>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</si>
  <si>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</si>
  <si>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</si>
  <si>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</si>
  <si>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</si>
  <si>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</si>
  <si>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</si>
  <si>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</si>
  <si>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</si>
  <si>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</si>
  <si>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</si>
  <si>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</si>
  <si>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</si>
  <si>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</si>
  <si>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</si>
  <si>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</si>
  <si>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</si>
  <si>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</si>
  <si>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</si>
  <si>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</si>
  <si>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</si>
  <si>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</si>
  <si>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</si>
  <si>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</si>
  <si>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</si>
  <si>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</si>
  <si>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</si>
  <si>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</si>
  <si>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</si>
  <si>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</si>
  <si>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</si>
  <si>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</si>
  <si>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</si>
  <si>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</si>
  <si>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</si>
  <si>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</si>
  <si>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</si>
  <si>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</si>
  <si>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</si>
  <si>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</si>
  <si>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</si>
  <si>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</si>
  <si>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</si>
  <si>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</si>
  <si>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</si>
  <si>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</si>
  <si>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</si>
  <si>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</si>
  <si>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</si>
  <si>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</si>
  <si>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</si>
  <si>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</si>
  <si>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</si>
  <si>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</si>
  <si>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</si>
  <si>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</si>
  <si>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</si>
  <si>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</si>
  <si>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</si>
  <si>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</si>
  <si>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</si>
  <si>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</si>
  <si>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</si>
  <si>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</si>
  <si>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</si>
  <si>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</si>
  <si>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</si>
  <si>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</si>
  <si>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</si>
  <si>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</si>
  <si>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</si>
  <si>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</si>
  <si>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</si>
  <si>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</si>
  <si>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</si>
  <si>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</si>
  <si>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</si>
  <si>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</si>
  <si>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</si>
  <si>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</si>
  <si>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</si>
  <si>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</si>
  <si>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</si>
  <si>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</si>
  <si>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</si>
  <si>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</si>
  <si>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</si>
  <si>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</si>
  <si>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</si>
  <si>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</si>
  <si>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</si>
  <si>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</si>
  <si>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</si>
  <si>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</si>
  <si>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</si>
  <si>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</si>
  <si>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</si>
  <si>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</si>
  <si>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</si>
  <si>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</si>
  <si>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</si>
  <si>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</si>
  <si>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</si>
  <si>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</si>
  <si>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</si>
  <si>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</si>
  <si>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</si>
  <si>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</si>
  <si>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</si>
  <si>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</si>
  <si>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</si>
  <si>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</si>
  <si>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</si>
  <si>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</si>
  <si>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</si>
  <si>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</si>
  <si>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</si>
  <si>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</si>
  <si>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</si>
  <si>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</si>
  <si>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</si>
  <si>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</si>
  <si>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</si>
  <si>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</si>
  <si>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</si>
  <si>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</si>
  <si>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</si>
  <si>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</si>
  <si>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</si>
  <si>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</si>
  <si>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</si>
  <si>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</si>
  <si>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</si>
  <si>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</si>
  <si>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</si>
  <si>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</si>
  <si>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</si>
  <si>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</si>
  <si>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</si>
  <si>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</si>
  <si>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</si>
  <si>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</si>
  <si>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</si>
  <si>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</si>
  <si>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</si>
  <si>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</si>
  <si>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</si>
  <si>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</si>
  <si>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</si>
  <si>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</si>
  <si>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</si>
  <si>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</si>
  <si>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</si>
  <si>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</si>
  <si>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</si>
  <si>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</si>
  <si>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</si>
  <si>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</si>
  <si>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</si>
  <si>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</si>
  <si>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</si>
  <si>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</si>
  <si>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</si>
  <si>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</si>
  <si>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</si>
  <si>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</si>
  <si>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</si>
  <si>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</si>
  <si>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</si>
  <si>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</si>
  <si>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</si>
  <si>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</si>
  <si>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</si>
  <si>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</si>
  <si>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</si>
  <si>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</si>
  <si>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</si>
  <si>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</si>
  <si>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</si>
  <si>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</si>
  <si>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</si>
  <si>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</si>
  <si>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</si>
  <si>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</si>
  <si>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</si>
  <si>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</si>
  <si>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</si>
  <si>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</si>
  <si>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</si>
  <si>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</si>
  <si>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</si>
  <si>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</si>
  <si>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</si>
  <si>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</si>
  <si>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</si>
  <si>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</si>
  <si>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</si>
  <si>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</si>
  <si>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</si>
  <si>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</si>
  <si>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</si>
  <si>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</si>
  <si>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</si>
  <si>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</si>
  <si>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</si>
  <si>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</si>
  <si>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</si>
  <si>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</si>
  <si>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</si>
  <si>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</si>
  <si>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</si>
  <si>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</si>
  <si>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</si>
  <si>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</si>
  <si>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</si>
  <si>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</si>
  <si>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</si>
  <si>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</si>
  <si>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</si>
  <si>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</si>
  <si>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</si>
  <si>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</si>
  <si>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</si>
  <si>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</si>
  <si>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</si>
  <si>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</si>
  <si>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</si>
  <si>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</si>
  <si>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</si>
  <si>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</si>
  <si>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</si>
  <si>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</si>
  <si>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</si>
  <si>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</si>
  <si>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</si>
  <si>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</si>
  <si>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</si>
  <si>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</si>
  <si>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</si>
  <si>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</si>
  <si>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</si>
  <si>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</si>
  <si>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</si>
  <si>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</si>
  <si>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</si>
  <si>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</si>
  <si>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</si>
  <si>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</si>
  <si>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</si>
  <si>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</si>
  <si>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</si>
  <si>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</si>
  <si>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</si>
  <si>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</si>
  <si>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</si>
  <si>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</si>
  <si>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</si>
  <si>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</si>
  <si>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</si>
  <si>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</si>
  <si>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</si>
  <si>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</si>
  <si>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</si>
  <si>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</si>
  <si>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</si>
  <si>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</si>
  <si>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</si>
  <si>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</si>
  <si>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</si>
  <si>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</si>
  <si>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</si>
  <si>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</si>
  <si>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</si>
  <si>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</si>
  <si>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</si>
  <si>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</si>
  <si>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</si>
  <si>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</si>
  <si>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</si>
  <si>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</si>
  <si>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</si>
  <si>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</si>
  <si>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</si>
  <si>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</si>
  <si>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</si>
  <si>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</si>
  <si>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</si>
  <si>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</si>
  <si>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</si>
  <si>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</si>
  <si>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</si>
  <si>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</si>
  <si>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</si>
  <si>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</si>
  <si>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</si>
  <si>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</si>
  <si>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</si>
  <si>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</si>
  <si>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</si>
  <si>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</si>
  <si>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</si>
  <si>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</si>
  <si>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</si>
  <si>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</si>
  <si>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</si>
  <si>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</si>
  <si>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</si>
  <si>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</si>
  <si>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</si>
  <si>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</si>
  <si>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</si>
  <si>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</si>
  <si>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</si>
  <si>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</si>
  <si>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</si>
  <si>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</si>
  <si>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</si>
  <si>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</si>
  <si>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</si>
  <si>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</si>
  <si>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</si>
  <si>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</si>
  <si>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</si>
  <si>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</si>
  <si>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</si>
  <si>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</si>
  <si>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</si>
  <si>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</si>
  <si>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</si>
  <si>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</si>
  <si>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</si>
  <si>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</si>
  <si>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</si>
  <si>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</si>
  <si>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</si>
  <si>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</si>
  <si>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</si>
  <si>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</si>
  <si>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</si>
  <si>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</si>
  <si>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</si>
  <si>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</si>
  <si>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</si>
  <si>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</si>
  <si>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</si>
  <si>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</si>
  <si>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</si>
  <si>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</si>
  <si>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</si>
  <si>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</si>
  <si>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</si>
  <si>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</si>
  <si>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</si>
  <si>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</si>
  <si>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</si>
  <si>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</si>
  <si>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</si>
  <si>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</si>
  <si>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</si>
  <si>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</si>
  <si>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</si>
  <si>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</si>
  <si>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</si>
  <si>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</si>
  <si>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</si>
  <si>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</si>
  <si>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</si>
  <si>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</si>
  <si>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</si>
  <si>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</si>
  <si>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</si>
  <si>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</si>
  <si>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</si>
  <si>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</si>
  <si>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</si>
  <si>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</si>
  <si>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</si>
  <si>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</si>
  <si>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</si>
  <si>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</si>
  <si>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</si>
  <si>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</si>
  <si>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</si>
  <si>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</si>
  <si>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</si>
  <si>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</si>
  <si>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</si>
  <si>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</si>
  <si>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</si>
  <si>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</si>
  <si>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</si>
  <si>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</si>
  <si>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</si>
  <si>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</si>
  <si>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</si>
  <si>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</si>
  <si>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</si>
  <si>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</si>
  <si>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</si>
  <si>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</si>
  <si>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</si>
  <si>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</si>
  <si>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</si>
  <si>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</si>
  <si>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</si>
  <si>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</si>
  <si>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</si>
  <si>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</si>
  <si>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</si>
  <si>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</si>
  <si>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</si>
  <si>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</si>
  <si>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</si>
  <si>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</si>
  <si>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</si>
  <si>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</si>
  <si>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</si>
  <si>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</si>
  <si>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</si>
  <si>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</si>
  <si>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</si>
  <si>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</si>
  <si>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</si>
  <si>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</si>
  <si>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</si>
  <si>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</si>
  <si>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</si>
  <si>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</si>
  <si>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</si>
  <si>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</si>
  <si>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</si>
  <si>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</si>
  <si>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</si>
  <si>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</si>
  <si>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</si>
  <si>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</si>
  <si>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</si>
  <si>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</si>
  <si>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</si>
  <si>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</si>
  <si>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</si>
  <si>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</si>
  <si>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</si>
  <si>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</si>
  <si>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</si>
  <si>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</si>
  <si>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</si>
  <si>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</si>
  <si>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</si>
  <si>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</si>
  <si>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</si>
  <si>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</si>
  <si>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</si>
  <si>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</si>
  <si>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</si>
  <si>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</si>
  <si>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</si>
  <si>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</si>
  <si>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</si>
  <si>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</si>
  <si>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</si>
  <si>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</si>
  <si>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</si>
  <si>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</si>
  <si>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</si>
  <si>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</si>
  <si>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</si>
  <si>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</si>
  <si>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</si>
  <si>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</si>
  <si>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</si>
  <si>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</si>
  <si>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</si>
  <si>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</si>
  <si>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</si>
  <si>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</si>
  <si>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</si>
  <si>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</si>
  <si>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</si>
  <si>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</si>
  <si>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</si>
  <si>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</si>
  <si>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</si>
  <si>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</si>
  <si>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</si>
  <si>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</si>
  <si>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</si>
  <si>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</si>
  <si>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</si>
  <si>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</si>
  <si>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</si>
  <si>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</si>
  <si>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</si>
  <si>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</si>
  <si>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</si>
  <si>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</si>
  <si>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</si>
  <si>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</si>
  <si>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</si>
  <si>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</si>
  <si>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</si>
  <si>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</si>
  <si>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</si>
  <si>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</si>
  <si>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</si>
  <si>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</si>
  <si>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</si>
  <si>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</si>
  <si>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</si>
  <si>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</si>
  <si>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</si>
  <si>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</si>
  <si>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</si>
  <si>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</si>
  <si>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</si>
  <si>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</si>
  <si>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</si>
  <si>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</si>
  <si>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</si>
  <si>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</si>
  <si>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</si>
  <si>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</si>
  <si>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</si>
  <si>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</si>
  <si>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</si>
  <si>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</si>
  <si>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</si>
  <si>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</si>
  <si>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</si>
  <si>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</si>
  <si>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</si>
  <si>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</si>
  <si>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</si>
  <si>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</si>
  <si>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</si>
  <si>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</si>
  <si>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</si>
  <si>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</si>
  <si>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</si>
  <si>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</si>
  <si>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</si>
  <si>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</si>
  <si>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</si>
  <si>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</si>
  <si>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</si>
  <si>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</si>
  <si>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</si>
  <si>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</si>
  <si>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</si>
  <si>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</si>
  <si>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</si>
  <si>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</si>
  <si>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</si>
  <si>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</si>
  <si>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</si>
  <si>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</si>
  <si>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</si>
  <si>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</si>
  <si>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</si>
  <si>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</si>
  <si>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</si>
  <si>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</si>
  <si>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</si>
  <si>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</si>
  <si>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</si>
  <si>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</si>
  <si>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</si>
  <si>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</si>
  <si>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</si>
  <si>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</si>
  <si>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</si>
  <si>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</si>
  <si>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</si>
  <si>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</si>
  <si>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</si>
  <si>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</si>
  <si>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</si>
  <si>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</si>
  <si>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</si>
  <si>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</si>
  <si>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</si>
  <si>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</si>
  <si>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</si>
  <si>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</si>
  <si>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</si>
  <si>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</si>
  <si>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</si>
  <si>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</si>
  <si>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</si>
  <si>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</si>
  <si>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</si>
  <si>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</si>
  <si>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</si>
  <si>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</si>
  <si>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</si>
  <si>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</si>
  <si>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</si>
  <si>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</si>
  <si>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</si>
  <si>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</si>
  <si>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</si>
  <si>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</si>
  <si>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</si>
  <si>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</si>
  <si>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</si>
  <si>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</si>
  <si>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</si>
  <si>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</si>
  <si>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</si>
  <si>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</si>
  <si>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</si>
  <si>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</si>
  <si>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</si>
  <si>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</si>
  <si>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</si>
  <si>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</si>
  <si>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</si>
  <si>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</si>
  <si>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</si>
  <si>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</si>
  <si>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</si>
  <si>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</si>
  <si>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</si>
  <si>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</si>
  <si>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</si>
  <si>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</si>
  <si>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</si>
  <si>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</si>
  <si>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</si>
  <si>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</si>
  <si>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</si>
  <si>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</si>
  <si>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</si>
  <si>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</si>
  <si>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</si>
  <si>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</si>
  <si>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</si>
  <si>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</si>
  <si>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</si>
  <si>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</si>
  <si>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</si>
  <si>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</si>
  <si>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</si>
  <si>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</si>
  <si>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</si>
  <si>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</si>
  <si>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</si>
  <si>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</si>
  <si>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</si>
  <si>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</si>
  <si>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</si>
  <si>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</si>
  <si>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</si>
  <si>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</si>
  <si>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</si>
  <si>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</si>
  <si>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</si>
  <si>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</si>
  <si>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</si>
  <si>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</si>
  <si>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</si>
  <si>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</si>
  <si>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</si>
  <si>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</si>
  <si>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</si>
  <si>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</si>
  <si>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</si>
  <si>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</si>
  <si>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</si>
  <si>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</si>
  <si>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</si>
  <si>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</si>
  <si>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</si>
  <si>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</si>
  <si>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</si>
  <si>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</si>
  <si>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</si>
  <si>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</si>
  <si>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</si>
  <si>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</si>
  <si>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</si>
  <si>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</si>
  <si>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</si>
  <si>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</si>
  <si>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</si>
  <si>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</si>
  <si>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</si>
  <si>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</si>
  <si>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</si>
  <si>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</si>
  <si>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</si>
  <si>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</si>
  <si>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</si>
  <si>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</si>
  <si>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</si>
  <si>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</si>
  <si>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</si>
  <si>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</si>
  <si>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</si>
  <si>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</si>
  <si>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</si>
  <si>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</si>
  <si>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</si>
  <si>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</si>
  <si>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</si>
  <si>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</si>
  <si>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</si>
  <si>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</si>
  <si>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</si>
  <si>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</si>
  <si>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</si>
  <si>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</si>
  <si>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</si>
  <si>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</si>
  <si>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</si>
  <si>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</si>
  <si>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</si>
  <si>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</si>
  <si>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</si>
  <si>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</si>
  <si>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</si>
  <si>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</si>
  <si>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</si>
  <si>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</si>
  <si>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</si>
  <si>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</si>
  <si>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</si>
  <si>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</si>
  <si>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</si>
  <si>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</si>
  <si>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</si>
  <si>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</si>
  <si>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</si>
  <si>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</si>
  <si>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</si>
  <si>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</si>
  <si>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</si>
  <si>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</si>
  <si>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</si>
  <si>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</si>
  <si>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</si>
  <si>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</si>
  <si>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</si>
  <si>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</si>
  <si>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</si>
  <si>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</si>
  <si>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</si>
  <si>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</si>
  <si>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</si>
  <si>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</si>
  <si>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</si>
  <si>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</si>
  <si>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</si>
  <si>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</si>
  <si>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</si>
  <si>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</si>
  <si>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</si>
  <si>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</si>
  <si>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</si>
  <si>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</si>
  <si>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</si>
  <si>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</si>
  <si>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</si>
  <si>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</si>
  <si>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</si>
  <si>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</si>
  <si>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</si>
  <si>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</si>
  <si>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</si>
  <si>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</si>
  <si>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</si>
  <si>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</si>
  <si>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</si>
  <si>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</si>
  <si>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</si>
  <si>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</si>
  <si>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</si>
  <si>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</si>
  <si>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</si>
  <si>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</si>
  <si>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</si>
  <si>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</si>
  <si>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</si>
  <si>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</si>
  <si>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</si>
  <si>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</si>
  <si>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</si>
  <si>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</si>
  <si>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</si>
  <si>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</si>
  <si>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</si>
  <si>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</si>
  <si>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</si>
  <si>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</si>
  <si>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</si>
  <si>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</si>
  <si>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</si>
  <si>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</si>
  <si>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</si>
  <si>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</si>
  <si>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</si>
  <si>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</si>
  <si>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</si>
  <si>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</si>
  <si>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</si>
  <si>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</si>
  <si>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</si>
  <si>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</si>
  <si>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</si>
  <si>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</si>
  <si>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</si>
  <si>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</si>
  <si>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</si>
  <si>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</si>
  <si>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</si>
  <si>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</si>
  <si>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</si>
  <si>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</si>
  <si>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</si>
  <si>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</si>
  <si>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</si>
  <si>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</si>
  <si>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</si>
  <si>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</si>
  <si>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</si>
  <si>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</si>
  <si>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</si>
  <si>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</si>
  <si>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</si>
  <si>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</si>
  <si>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</si>
  <si>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</si>
  <si>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</si>
  <si>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</si>
  <si>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</si>
  <si>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</si>
  <si>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</si>
  <si>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</si>
  <si>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</si>
  <si>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</si>
  <si>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</si>
  <si>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</si>
  <si>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</si>
  <si>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</si>
  <si>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</si>
  <si>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</si>
  <si>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</si>
  <si>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</si>
  <si>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</si>
  <si>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</si>
  <si>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</si>
  <si>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</si>
  <si>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</si>
  <si>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</si>
  <si>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</si>
  <si>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</si>
  <si>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</si>
  <si>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</si>
  <si>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</si>
  <si>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</si>
  <si>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</si>
  <si>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</si>
  <si>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</si>
  <si>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</si>
  <si>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</si>
  <si>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</si>
  <si>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</si>
  <si>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</si>
  <si>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</si>
  <si>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</si>
  <si>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</si>
  <si>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</si>
  <si>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</si>
  <si>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</si>
  <si>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</si>
  <si>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</si>
  <si>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</si>
  <si>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</si>
  <si>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</si>
  <si>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</si>
  <si>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</si>
  <si>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</si>
  <si>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</si>
  <si>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</si>
  <si>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</si>
  <si>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</si>
  <si>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</si>
  <si>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</si>
  <si>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</si>
  <si>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</si>
  <si>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</si>
  <si>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</si>
  <si>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</si>
  <si>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CULTESA</t>
  </si>
  <si>
    <t>Cdad Autónoma Canarias</t>
  </si>
  <si>
    <t>Ayuntamiento Icod Vinos</t>
  </si>
  <si>
    <t>Otras AAPP</t>
  </si>
  <si>
    <t>Indemnización seguro platanera</t>
  </si>
  <si>
    <t>Indemnización seguro vehículos</t>
  </si>
  <si>
    <t>Recargos AEAT</t>
  </si>
  <si>
    <t>Multa tráfico</t>
  </si>
  <si>
    <t>Colaboración jornadas técnicas</t>
  </si>
  <si>
    <t>Climatización cámara 4</t>
  </si>
  <si>
    <t>Iluminación cámara 4</t>
  </si>
  <si>
    <t>Túneles cultivo pitaya</t>
  </si>
  <si>
    <t>Baranda seguridad urbanización</t>
  </si>
  <si>
    <t>Reubicación máquinas invernadero</t>
  </si>
  <si>
    <t>Suministro lavavajillas</t>
  </si>
  <si>
    <t>Sustitución tubos fluorescentes por LED en cámaras climatización</t>
  </si>
  <si>
    <t>Adecuación instalación eléctrica invernadero</t>
  </si>
  <si>
    <t>Otras agrupadas</t>
  </si>
  <si>
    <t>Fianzas BALTEN</t>
  </si>
  <si>
    <t>Ayuda plátano</t>
  </si>
  <si>
    <t>Gobierno Canarias</t>
  </si>
  <si>
    <t>Colección papa, batata y ajo</t>
  </si>
  <si>
    <t>Cabildo Tenerife</t>
  </si>
  <si>
    <t>Proyecto Papaya</t>
  </si>
  <si>
    <t>Mejora papa semilla aire libre</t>
  </si>
  <si>
    <t>Mejora tomates tradicionales</t>
  </si>
  <si>
    <t>Construcción edif.y otras instalaciones</t>
  </si>
  <si>
    <t>Mejora ajos tradicionales Canarias</t>
  </si>
  <si>
    <t>Jesús Manuel Morales Martínez</t>
  </si>
  <si>
    <t>Francisco Javier González-Palenzuela Gallego</t>
  </si>
  <si>
    <t>Susana Rodríguez Baeza</t>
  </si>
  <si>
    <t>Mª del Cristo Pérez Zamora</t>
  </si>
  <si>
    <t>Miguel Ángel Pérez Hernández</t>
  </si>
  <si>
    <t>Antonio García Marichal</t>
  </si>
  <si>
    <t>Francisco Javier López Cepero</t>
  </si>
  <si>
    <t>Antonio Miguel Suárez Linares</t>
  </si>
  <si>
    <t>María Teresa Cruz Bacallado</t>
  </si>
  <si>
    <t>BURGUEÑO-SAMARÍN,C.A.</t>
  </si>
  <si>
    <t>BROS AUDITORES, S.L.</t>
  </si>
  <si>
    <t>P3800001D</t>
  </si>
  <si>
    <t>A</t>
  </si>
  <si>
    <t>Entidad para el Desarrollo Agrícola, Ganadero y Pesquero de Tenerife</t>
  </si>
  <si>
    <t>V76532688</t>
  </si>
  <si>
    <t>COPLACA SDAD.COOP.</t>
  </si>
  <si>
    <t>F38008579</t>
  </si>
  <si>
    <t>B</t>
  </si>
  <si>
    <t>CAJASIETE</t>
  </si>
  <si>
    <t>F38005245</t>
  </si>
  <si>
    <t>Ángela Delgado Díaz (en fase de sustitución)</t>
  </si>
  <si>
    <t>0602</t>
  </si>
  <si>
    <t>4199</t>
  </si>
  <si>
    <t>44934</t>
  </si>
  <si>
    <t>4142</t>
  </si>
  <si>
    <t>4192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</si>
</sst>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7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0" fontId="1" fillId="2" borderId="153" xfId="0" applyFont="1" applyFill="1" applyBorder="1" applyAlignment="1" applyProtection="1">
      <alignment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4" fontId="1" fillId="2" borderId="54" xfId="0" applyNumberFormat="1" applyFont="1" applyFill="1" applyBorder="1" applyProtection="1"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center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12" fillId="2" borderId="98" xfId="0" applyNumberFormat="1" applyFont="1" applyFill="1" applyBorder="1" applyAlignment="1" applyProtection="1">
      <alignment horizontal="center" vertical="center"/>
      <protection locked="0"/>
    </xf>
    <xf numFmtId="49" fontId="8" fillId="2" borderId="98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</cellXfs>
  <cellStyles count="1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25" zoomScale="80" zoomScaleNormal="80" zoomScalePageLayoutView="80" workbookViewId="0">
      <selection activeCell="F15" sqref="F15"/>
    </sheetView>
  </sheetViews>
  <sheetFormatPr baseColWidth="10" defaultColWidth="10.6640625" defaultRowHeight="15"/>
  <cols>
    <col min="1" max="1" width="3.33203125" style="4" customWidth="1"/>
    <col min="2" max="2" width="3.44140625" style="2" customWidth="1"/>
    <col min="3" max="3" width="12.33203125" style="4" customWidth="1"/>
    <col min="4" max="13" width="10.6640625" style="4"/>
    <col min="14" max="14" width="3.3320312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3.1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3.1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3.1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7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7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3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78" t="s">
        <v>1021</v>
      </c>
      <c r="E13" s="1279"/>
      <c r="F13" s="1279"/>
      <c r="G13" s="1279"/>
      <c r="H13" s="1279"/>
      <c r="I13" s="1279"/>
      <c r="J13" s="1279"/>
      <c r="K13" s="1279"/>
      <c r="L13" s="1279"/>
      <c r="M13" s="1280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78" t="s">
        <v>958</v>
      </c>
      <c r="E14" s="1279"/>
      <c r="F14" s="1280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4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C31" zoomScale="78" zoomScaleNormal="78" zoomScalePageLayoutView="78" workbookViewId="0">
      <selection activeCell="G48" sqref="G48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9.5546875" style="42" customWidth="1"/>
    <col min="4" max="4" width="5.5546875" style="42" customWidth="1"/>
    <col min="5" max="5" width="69.6640625" style="42" customWidth="1"/>
    <col min="6" max="8" width="18.33203125" style="90" customWidth="1"/>
    <col min="9" max="9" width="3.33203125" style="42" customWidth="1"/>
    <col min="10" max="16384" width="10.66406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1" t="str">
        <f>Entidad</f>
        <v>CULTESA</v>
      </c>
      <c r="E9" s="1291"/>
      <c r="F9" s="1291"/>
      <c r="G9" s="1291"/>
      <c r="H9" s="129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20668.820000000167</v>
      </c>
      <c r="G16" s="557">
        <f>'FC-3_CPyG'!F76</f>
        <v>3272.6200000001263</v>
      </c>
      <c r="H16" s="557">
        <f>'FC-3_CPyG'!G76</f>
        <v>3594.1800000001094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186151.14</v>
      </c>
      <c r="G17" s="400">
        <f>SUM(G18:G28)</f>
        <v>196025.72000000003</v>
      </c>
      <c r="H17" s="400">
        <f>SUM(H18:H28)</f>
        <v>166723.64000000001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>
        <v>181154.29</v>
      </c>
      <c r="G18" s="474">
        <v>198755.06</v>
      </c>
      <c r="H18" s="474">
        <v>169723.64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>
        <v>-1200</v>
      </c>
      <c r="G21" s="474">
        <v>-2767.12</v>
      </c>
      <c r="H21" s="474">
        <v>-3000</v>
      </c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>
        <v>6196.85</v>
      </c>
      <c r="G22" s="474">
        <v>37.89</v>
      </c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/>
      <c r="G24" s="474">
        <v>-0.11</v>
      </c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-127931.85999999999</v>
      </c>
      <c r="G29" s="400">
        <f>SUM(G30:G35)</f>
        <v>-54754.999999999993</v>
      </c>
      <c r="H29" s="400">
        <f>SUM(H30:H35)</f>
        <v>17348.66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>
        <v>-43058.2</v>
      </c>
      <c r="G30" s="474">
        <v>-20065.240000000002</v>
      </c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>
        <v>-55750.559999999998</v>
      </c>
      <c r="G31" s="474">
        <v>59787.040000000001</v>
      </c>
      <c r="H31" s="474">
        <v>-13037.5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>
        <v>-19849.45</v>
      </c>
      <c r="G33" s="474">
        <v>-86052.43</v>
      </c>
      <c r="H33" s="474">
        <v>30386.16</v>
      </c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>
        <v>-9273.65</v>
      </c>
      <c r="G34" s="474">
        <v>-8424.3700000000008</v>
      </c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0.11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/>
      <c r="G39" s="474">
        <v>0.11</v>
      </c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78888.10000000021</v>
      </c>
      <c r="G42" s="402">
        <f>G16+G17+G29+G36</f>
        <v>144543.45000000013</v>
      </c>
      <c r="H42" s="402">
        <f>H16+H17+H29+H36</f>
        <v>187666.48000000013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-269903.93</v>
      </c>
      <c r="G45" s="400">
        <f>SUM(G46:G53)</f>
        <v>-106865.43</v>
      </c>
      <c r="H45" s="400">
        <f>SUM(H46:H53)</f>
        <v>-21000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>
        <v>-269903.93</v>
      </c>
      <c r="G48" s="474">
        <v>-106865.43</v>
      </c>
      <c r="H48" s="474">
        <v>-21000</v>
      </c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-269903.93</v>
      </c>
      <c r="G63" s="402">
        <f>G45+G54</f>
        <v>-106865.43</v>
      </c>
      <c r="H63" s="402">
        <f>H45+H54</f>
        <v>-21000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10000</v>
      </c>
      <c r="G66" s="400">
        <f>SUM(G67:G71)</f>
        <v>10000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>
        <v>10000</v>
      </c>
      <c r="G71" s="474">
        <v>10000</v>
      </c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10000</v>
      </c>
      <c r="G88" s="402">
        <f>+G66+G72+G85</f>
        <v>10000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-181015.82999999978</v>
      </c>
      <c r="G92" s="402">
        <f>+G42+G63+G88+G90</f>
        <v>47678.020000000135</v>
      </c>
      <c r="H92" s="402">
        <f>+H42+H63+H88+H90</f>
        <v>166666.48000000013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608947.52</v>
      </c>
      <c r="G94" s="406">
        <f>+F95</f>
        <v>427931.69</v>
      </c>
      <c r="H94" s="406">
        <f>+G95</f>
        <v>475609.71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427931.69</v>
      </c>
      <c r="G95" s="402">
        <f>+'FC-4_ACTIVO'!F90</f>
        <v>475609.71</v>
      </c>
      <c r="H95" s="402">
        <f>+'FC-4_ACTIVO'!G90</f>
        <v>642276.18999999994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0"/>
      <c r="D100" s="1290"/>
      <c r="E100" s="1290"/>
      <c r="F100" s="1290"/>
      <c r="G100" s="129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57" zoomScaleNormal="57" zoomScalePageLayoutView="80" workbookViewId="0">
      <selection activeCell="E28" sqref="E28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42.6640625" style="99" customWidth="1"/>
    <col min="5" max="6" width="12.6640625" style="100" customWidth="1"/>
    <col min="7" max="8" width="15.6640625" style="100" customWidth="1"/>
    <col min="9" max="18" width="12.6640625" style="100" customWidth="1"/>
    <col min="19" max="19" width="3.33203125" style="99" customWidth="1"/>
    <col min="20" max="16384" width="10.66406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41" t="s">
        <v>750</v>
      </c>
      <c r="J13" s="1342"/>
      <c r="K13" s="1342"/>
      <c r="L13" s="1342"/>
      <c r="M13" s="1343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>
        <v>1</v>
      </c>
      <c r="D16" s="1251" t="s">
        <v>1030</v>
      </c>
      <c r="E16" s="478">
        <v>2018</v>
      </c>
      <c r="F16" s="478">
        <v>2018</v>
      </c>
      <c r="G16" s="479">
        <v>31849.72</v>
      </c>
      <c r="H16" s="479">
        <v>31849.72</v>
      </c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>
        <v>2</v>
      </c>
      <c r="D17" s="1252" t="s">
        <v>1031</v>
      </c>
      <c r="E17" s="482">
        <v>2018</v>
      </c>
      <c r="F17" s="482">
        <v>2018</v>
      </c>
      <c r="G17" s="483">
        <v>18392.3</v>
      </c>
      <c r="H17" s="483">
        <v>18392.3</v>
      </c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>
        <v>3</v>
      </c>
      <c r="D18" s="1252" t="s">
        <v>1032</v>
      </c>
      <c r="E18" s="482">
        <v>2018</v>
      </c>
      <c r="F18" s="482">
        <v>2018</v>
      </c>
      <c r="G18" s="483">
        <v>9880.7999999999993</v>
      </c>
      <c r="H18" s="483">
        <v>9880.7999999999993</v>
      </c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>
        <v>4</v>
      </c>
      <c r="D19" s="1252" t="s">
        <v>1033</v>
      </c>
      <c r="E19" s="482">
        <v>2018</v>
      </c>
      <c r="F19" s="482">
        <v>2018</v>
      </c>
      <c r="G19" s="483">
        <v>4216</v>
      </c>
      <c r="H19" s="483">
        <v>4216</v>
      </c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>
        <v>5</v>
      </c>
      <c r="D20" s="1252" t="s">
        <v>1034</v>
      </c>
      <c r="E20" s="482">
        <v>2018</v>
      </c>
      <c r="F20" s="482">
        <v>2018</v>
      </c>
      <c r="G20" s="483">
        <v>4327.75</v>
      </c>
      <c r="H20" s="483">
        <v>4327.75</v>
      </c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>
        <v>6</v>
      </c>
      <c r="D21" s="1252" t="s">
        <v>1035</v>
      </c>
      <c r="E21" s="482">
        <v>2018</v>
      </c>
      <c r="F21" s="482">
        <v>2018</v>
      </c>
      <c r="G21" s="483">
        <v>3940</v>
      </c>
      <c r="H21" s="483">
        <v>3940</v>
      </c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>
        <v>7</v>
      </c>
      <c r="D22" s="1252" t="s">
        <v>1036</v>
      </c>
      <c r="E22" s="482">
        <v>2018</v>
      </c>
      <c r="F22" s="482">
        <v>2019</v>
      </c>
      <c r="G22" s="483">
        <v>27000</v>
      </c>
      <c r="H22" s="483">
        <v>6000</v>
      </c>
      <c r="I22" s="483">
        <v>21000</v>
      </c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>
        <v>8</v>
      </c>
      <c r="D23" s="1252" t="s">
        <v>1037</v>
      </c>
      <c r="E23" s="482">
        <v>2018</v>
      </c>
      <c r="F23" s="482">
        <v>2018</v>
      </c>
      <c r="G23" s="483">
        <v>7000</v>
      </c>
      <c r="H23" s="483">
        <v>7000</v>
      </c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>
        <v>9</v>
      </c>
      <c r="D24" s="1252" t="s">
        <v>1038</v>
      </c>
      <c r="E24" s="482">
        <v>2018</v>
      </c>
      <c r="F24" s="482">
        <v>2018</v>
      </c>
      <c r="G24" s="483">
        <v>21258.959999999999</v>
      </c>
      <c r="H24" s="483">
        <v>21258.959999999999</v>
      </c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44" t="s">
        <v>388</v>
      </c>
      <c r="D46" s="1345"/>
      <c r="E46" s="128">
        <f>MIN(E16:E45)</f>
        <v>2018</v>
      </c>
      <c r="F46" s="128">
        <f>MAX(F16:F45)</f>
        <v>2019</v>
      </c>
      <c r="G46" s="129">
        <f t="shared" ref="G46:R46" si="0">SUM(G16:G45)</f>
        <v>127865.53</v>
      </c>
      <c r="H46" s="129">
        <f t="shared" si="0"/>
        <v>106865.53</v>
      </c>
      <c r="I46" s="129">
        <f t="shared" si="0"/>
        <v>21000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290"/>
      <c r="D55" s="1290"/>
      <c r="E55" s="1290"/>
      <c r="F55" s="129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B7" zoomScale="70" zoomScaleNormal="70" zoomScalePageLayoutView="70" workbookViewId="0">
      <selection activeCell="L33" sqref="L33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23.33203125" style="99" customWidth="1"/>
    <col min="5" max="13" width="13.44140625" style="100" customWidth="1"/>
    <col min="14" max="14" width="40.6640625" style="100" customWidth="1"/>
    <col min="15" max="15" width="3.33203125" style="99" customWidth="1"/>
    <col min="16" max="16384" width="10.66406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46"/>
      <c r="D13" s="1347"/>
      <c r="E13" s="200" t="s">
        <v>410</v>
      </c>
      <c r="F13" s="1350" t="s">
        <v>400</v>
      </c>
      <c r="G13" s="1351"/>
      <c r="H13" s="1351"/>
      <c r="I13" s="1351"/>
      <c r="J13" s="1351"/>
      <c r="K13" s="1351"/>
      <c r="L13" s="1352"/>
      <c r="M13" s="200" t="s">
        <v>411</v>
      </c>
      <c r="N13" s="134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23193</v>
      </c>
      <c r="F15" s="485"/>
      <c r="G15" s="486"/>
      <c r="H15" s="486"/>
      <c r="I15" s="486">
        <v>-20977.27</v>
      </c>
      <c r="J15" s="486"/>
      <c r="K15" s="486"/>
      <c r="L15" s="487"/>
      <c r="M15" s="175">
        <f>SUM(E15:L15)</f>
        <v>2215.7299999999996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842419.1</v>
      </c>
      <c r="F17" s="489">
        <v>106865.43</v>
      </c>
      <c r="G17" s="490"/>
      <c r="H17" s="490"/>
      <c r="I17" s="490">
        <v>-177777.79</v>
      </c>
      <c r="J17" s="490">
        <v>-37.89</v>
      </c>
      <c r="K17" s="490"/>
      <c r="L17" s="491"/>
      <c r="M17" s="179">
        <f t="shared" si="0"/>
        <v>771468.85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865612.1</v>
      </c>
      <c r="F20" s="178">
        <f t="shared" ref="F20:M20" si="1">SUM(F15:F19)</f>
        <v>106865.43</v>
      </c>
      <c r="G20" s="178">
        <f t="shared" si="1"/>
        <v>0</v>
      </c>
      <c r="H20" s="178">
        <f t="shared" si="1"/>
        <v>0</v>
      </c>
      <c r="I20" s="178">
        <f t="shared" si="1"/>
        <v>-198755.06</v>
      </c>
      <c r="J20" s="178">
        <f t="shared" si="1"/>
        <v>-37.89</v>
      </c>
      <c r="K20" s="178">
        <f t="shared" si="1"/>
        <v>0</v>
      </c>
      <c r="L20" s="178">
        <f t="shared" si="1"/>
        <v>0</v>
      </c>
      <c r="M20" s="178">
        <f t="shared" si="1"/>
        <v>773684.58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>
        <v>577125.80000000005</v>
      </c>
      <c r="F22" s="560"/>
      <c r="G22" s="561"/>
      <c r="H22" s="561"/>
      <c r="I22" s="561"/>
      <c r="J22" s="561"/>
      <c r="K22" s="561"/>
      <c r="L22" s="562">
        <v>20115.240000000002</v>
      </c>
      <c r="M22" s="178">
        <f>SUM(E22:L22)</f>
        <v>597241.04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46"/>
      <c r="D24" s="1347"/>
      <c r="E24" s="200" t="s">
        <v>410</v>
      </c>
      <c r="F24" s="1350" t="s">
        <v>400</v>
      </c>
      <c r="G24" s="1351"/>
      <c r="H24" s="1351"/>
      <c r="I24" s="1351"/>
      <c r="J24" s="1351"/>
      <c r="K24" s="1351"/>
      <c r="L24" s="1352"/>
      <c r="M24" s="200" t="s">
        <v>411</v>
      </c>
      <c r="N24" s="134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2215.7299999999996</v>
      </c>
      <c r="F26" s="485"/>
      <c r="G26" s="486"/>
      <c r="H26" s="486"/>
      <c r="I26" s="486">
        <v>-629.19000000000005</v>
      </c>
      <c r="J26" s="486"/>
      <c r="K26" s="486"/>
      <c r="L26" s="487"/>
      <c r="M26" s="175">
        <f>SUM(E26:L26)</f>
        <v>1586.5399999999995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771468.85</v>
      </c>
      <c r="F28" s="489">
        <v>21000</v>
      </c>
      <c r="G28" s="490"/>
      <c r="H28" s="490"/>
      <c r="I28" s="490">
        <v>-169094.45</v>
      </c>
      <c r="J28" s="490"/>
      <c r="K28" s="490"/>
      <c r="L28" s="491"/>
      <c r="M28" s="179">
        <f t="shared" si="2"/>
        <v>623374.39999999991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773684.58</v>
      </c>
      <c r="F31" s="178">
        <f t="shared" ref="F31" si="3">SUM(F26:F30)</f>
        <v>21000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-169723.64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624960.93999999994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597241.04</v>
      </c>
      <c r="F33" s="560"/>
      <c r="G33" s="561"/>
      <c r="H33" s="561"/>
      <c r="I33" s="561"/>
      <c r="J33" s="561"/>
      <c r="K33" s="561"/>
      <c r="L33" s="562"/>
      <c r="M33" s="178">
        <f>SUM(E33:L33)</f>
        <v>597241.04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0"/>
      <c r="D46" s="1290"/>
      <c r="E46" s="1290"/>
      <c r="F46" s="129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39" zoomScale="81" zoomScaleNormal="125" zoomScalePageLayoutView="125" workbookViewId="0">
      <selection activeCell="I31" sqref="I31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23.33203125" style="99" customWidth="1"/>
    <col min="5" max="12" width="13.44140625" style="100" customWidth="1"/>
    <col min="13" max="13" width="25.6640625" style="100" customWidth="1"/>
    <col min="14" max="14" width="3.33203125" style="99" customWidth="1"/>
    <col min="15" max="16384" width="10.66406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291"/>
      <c r="K9" s="1291"/>
      <c r="L9" s="1291"/>
      <c r="M9" s="129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2"/>
      <c r="D12" s="1362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0" t="s">
        <v>400</v>
      </c>
      <c r="H15" s="1351"/>
      <c r="I15" s="1351"/>
      <c r="J15" s="200" t="s">
        <v>411</v>
      </c>
      <c r="K15" s="200" t="s">
        <v>421</v>
      </c>
      <c r="L15" s="200" t="s">
        <v>422</v>
      </c>
      <c r="M15" s="134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53" t="s">
        <v>423</v>
      </c>
      <c r="D17" s="1353"/>
      <c r="E17" s="1353"/>
      <c r="F17" s="1353"/>
      <c r="G17" s="1353"/>
      <c r="H17" s="1353"/>
      <c r="I17" s="1353"/>
      <c r="J17" s="1353"/>
      <c r="K17" s="1353"/>
      <c r="L17" s="1353"/>
      <c r="M17" s="1353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55"/>
      <c r="D18" s="1356"/>
      <c r="E18" s="843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57"/>
      <c r="D19" s="1358"/>
      <c r="E19" s="844"/>
      <c r="F19" s="489"/>
      <c r="G19" s="490"/>
      <c r="H19" s="490"/>
      <c r="I19" s="490"/>
      <c r="J19" s="179">
        <f t="shared" si="0"/>
        <v>0</v>
      </c>
      <c r="K19" s="506"/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57"/>
      <c r="D20" s="1358"/>
      <c r="E20" s="844"/>
      <c r="F20" s="489"/>
      <c r="G20" s="490"/>
      <c r="H20" s="490"/>
      <c r="I20" s="490"/>
      <c r="J20" s="179">
        <f t="shared" si="0"/>
        <v>0</v>
      </c>
      <c r="K20" s="506"/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57"/>
      <c r="D21" s="1358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57"/>
      <c r="D22" s="1358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57"/>
      <c r="D23" s="1358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54" t="s">
        <v>424</v>
      </c>
      <c r="D26" s="1354"/>
      <c r="E26" s="1354"/>
      <c r="F26" s="1354"/>
      <c r="G26" s="1354"/>
      <c r="H26" s="1354"/>
      <c r="I26" s="1354"/>
      <c r="J26" s="1354"/>
      <c r="K26" s="1354"/>
      <c r="L26" s="1354"/>
      <c r="M26" s="1354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55"/>
      <c r="D27" s="1359"/>
      <c r="E27" s="843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60"/>
      <c r="D28" s="1361"/>
      <c r="E28" s="844"/>
      <c r="F28" s="489"/>
      <c r="G28" s="490"/>
      <c r="H28" s="490"/>
      <c r="I28" s="490"/>
      <c r="J28" s="179">
        <f t="shared" si="1"/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60"/>
      <c r="D29" s="1361"/>
      <c r="E29" s="844"/>
      <c r="F29" s="489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60"/>
      <c r="D30" s="1361"/>
      <c r="E30" s="844"/>
      <c r="F30" s="489"/>
      <c r="G30" s="490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57"/>
      <c r="D31" s="1358"/>
      <c r="E31" s="845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57"/>
      <c r="D32" s="1358"/>
      <c r="E32" s="845"/>
      <c r="F32" s="498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63"/>
      <c r="D33" s="1364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0" t="s">
        <v>400</v>
      </c>
      <c r="H39" s="1351"/>
      <c r="I39" s="1351"/>
      <c r="J39" s="200" t="s">
        <v>411</v>
      </c>
      <c r="K39" s="200" t="s">
        <v>421</v>
      </c>
      <c r="L39" s="200" t="s">
        <v>422</v>
      </c>
      <c r="M39" s="134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53" t="s">
        <v>427</v>
      </c>
      <c r="D41" s="1353"/>
      <c r="E41" s="1353"/>
      <c r="F41" s="1353"/>
      <c r="G41" s="1353"/>
      <c r="H41" s="1353"/>
      <c r="I41" s="1353"/>
      <c r="J41" s="1353"/>
      <c r="K41" s="1353"/>
      <c r="L41" s="1353"/>
      <c r="M41" s="1353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55"/>
      <c r="D42" s="1356"/>
      <c r="E42" s="843"/>
      <c r="F42" s="496"/>
      <c r="G42" s="497"/>
      <c r="H42" s="497"/>
      <c r="I42" s="497"/>
      <c r="J42" s="187">
        <f t="shared" ref="J42:J48" si="2">SUM(F42:I42)</f>
        <v>0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57"/>
      <c r="D43" s="1358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57"/>
      <c r="D44" s="1358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57"/>
      <c r="D45" s="1358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57"/>
      <c r="D46" s="1358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57"/>
      <c r="D47" s="1358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63"/>
      <c r="D48" s="1364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54" t="s">
        <v>428</v>
      </c>
      <c r="D50" s="1354"/>
      <c r="E50" s="1354"/>
      <c r="F50" s="1354"/>
      <c r="G50" s="1354"/>
      <c r="H50" s="1354"/>
      <c r="I50" s="1354"/>
      <c r="J50" s="1354"/>
      <c r="K50" s="1354"/>
      <c r="L50" s="1354"/>
      <c r="M50" s="1354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60" t="s">
        <v>1039</v>
      </c>
      <c r="D51" s="1361"/>
      <c r="E51" s="843">
        <v>260</v>
      </c>
      <c r="F51" s="496">
        <v>750</v>
      </c>
      <c r="G51" s="497"/>
      <c r="H51" s="497"/>
      <c r="I51" s="497"/>
      <c r="J51" s="187">
        <f t="shared" ref="J51:J57" si="3">SUM(F51:I51)</f>
        <v>750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60"/>
      <c r="D52" s="1361"/>
      <c r="E52" s="844"/>
      <c r="F52" s="489"/>
      <c r="G52" s="490"/>
      <c r="H52" s="490"/>
      <c r="I52" s="490"/>
      <c r="J52" s="179">
        <f t="shared" si="3"/>
        <v>0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57"/>
      <c r="D53" s="1358"/>
      <c r="E53" s="844"/>
      <c r="F53" s="489"/>
      <c r="G53" s="490"/>
      <c r="H53" s="490"/>
      <c r="I53" s="490"/>
      <c r="J53" s="179">
        <f t="shared" si="3"/>
        <v>0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57"/>
      <c r="D54" s="1358"/>
      <c r="E54" s="844"/>
      <c r="F54" s="489"/>
      <c r="G54" s="490"/>
      <c r="H54" s="490"/>
      <c r="I54" s="490"/>
      <c r="J54" s="179">
        <f t="shared" si="3"/>
        <v>0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57"/>
      <c r="D55" s="1358"/>
      <c r="E55" s="845"/>
      <c r="F55" s="498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57"/>
      <c r="D56" s="1358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63"/>
      <c r="D57" s="1364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750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750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0"/>
      <c r="D71" s="1290"/>
      <c r="E71" s="1290"/>
      <c r="F71" s="129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abSelected="1" topLeftCell="A7" zoomScale="60" zoomScaleNormal="60" zoomScalePageLayoutView="60" workbookViewId="0">
      <selection activeCell="M45" sqref="M45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15.6640625" style="99" customWidth="1"/>
    <col min="5" max="5" width="27.6640625" style="100" customWidth="1"/>
    <col min="6" max="6" width="15.44140625" style="100" customWidth="1"/>
    <col min="7" max="13" width="15.33203125" style="100" customWidth="1"/>
    <col min="14" max="16" width="9.6640625" style="100" customWidth="1"/>
    <col min="17" max="17" width="3.33203125" style="99" customWidth="1"/>
    <col min="18" max="18" width="3.44140625" style="99" customWidth="1"/>
    <col min="19" max="16384" width="10.66406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2"/>
      <c r="D12" s="1362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8"/>
      <c r="D15" s="1379"/>
      <c r="E15" s="970"/>
      <c r="F15" s="1391" t="s">
        <v>829</v>
      </c>
      <c r="G15" s="1392"/>
      <c r="H15" s="1392"/>
      <c r="I15" s="1392"/>
      <c r="J15" s="1392"/>
      <c r="K15" s="1393"/>
      <c r="L15" s="1389" t="s">
        <v>827</v>
      </c>
      <c r="M15" s="1387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398" t="s">
        <v>792</v>
      </c>
      <c r="D16" s="1399"/>
      <c r="E16" s="971"/>
      <c r="F16" s="972" t="s">
        <v>826</v>
      </c>
      <c r="G16" s="1384">
        <f>ejercicio-1</f>
        <v>2018</v>
      </c>
      <c r="H16" s="1388"/>
      <c r="I16" s="973" t="s">
        <v>826</v>
      </c>
      <c r="J16" s="1384">
        <f>ejercicio</f>
        <v>2019</v>
      </c>
      <c r="K16" s="1388"/>
      <c r="L16" s="1390" t="s">
        <v>828</v>
      </c>
      <c r="M16" s="1385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3.1" customHeight="1">
      <c r="B17" s="912"/>
      <c r="C17" s="1376" t="s">
        <v>793</v>
      </c>
      <c r="D17" s="1377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94" t="s">
        <v>392</v>
      </c>
      <c r="D19" s="1395"/>
      <c r="E19" s="1395"/>
      <c r="F19" s="967">
        <f>G19+H19</f>
        <v>17504.11</v>
      </c>
      <c r="G19" s="513">
        <v>13128.08</v>
      </c>
      <c r="H19" s="955">
        <v>4376.03</v>
      </c>
      <c r="I19" s="967">
        <f>+J19+K19</f>
        <v>24736.99</v>
      </c>
      <c r="J19" s="513">
        <f>G34</f>
        <v>18552.740000000002</v>
      </c>
      <c r="K19" s="955">
        <f>H34</f>
        <v>6184.25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7" t="s">
        <v>1047</v>
      </c>
      <c r="D21" s="564"/>
      <c r="E21" s="1255" t="s">
        <v>1043</v>
      </c>
      <c r="F21" s="948">
        <v>10000</v>
      </c>
      <c r="G21" s="485">
        <v>7500</v>
      </c>
      <c r="H21" s="956">
        <v>2500</v>
      </c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4"/>
      <c r="D22" s="566"/>
      <c r="E22" s="1256"/>
      <c r="F22" s="949"/>
      <c r="G22" s="496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4"/>
      <c r="D23" s="566"/>
      <c r="E23" s="1256"/>
      <c r="F23" s="949"/>
      <c r="G23" s="496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/>
      <c r="D24" s="566"/>
      <c r="E24" s="940"/>
      <c r="F24" s="949"/>
      <c r="G24" s="496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1"/>
      <c r="F25" s="950"/>
      <c r="G25" s="489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1"/>
      <c r="F26" s="950"/>
      <c r="G26" s="489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1"/>
      <c r="F27" s="950"/>
      <c r="G27" s="489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2"/>
      <c r="F28" s="951"/>
      <c r="G28" s="498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2"/>
      <c r="F29" s="951"/>
      <c r="G29" s="498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3"/>
      <c r="F30" s="952"/>
      <c r="G30" s="493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7" t="s">
        <v>444</v>
      </c>
      <c r="D31" s="998"/>
      <c r="E31" s="999"/>
      <c r="F31" s="1000">
        <f t="shared" ref="F31:M31" si="0">SUM(F21:F30)</f>
        <v>10000</v>
      </c>
      <c r="G31" s="678">
        <f t="shared" si="0"/>
        <v>7500</v>
      </c>
      <c r="H31" s="1001">
        <f t="shared" si="0"/>
        <v>2500</v>
      </c>
      <c r="I31" s="788">
        <f t="shared" si="0"/>
        <v>0</v>
      </c>
      <c r="J31" s="678">
        <f t="shared" si="0"/>
        <v>0</v>
      </c>
      <c r="K31" s="1001">
        <f t="shared" si="0"/>
        <v>0</v>
      </c>
      <c r="L31" s="788">
        <f t="shared" si="0"/>
        <v>0</v>
      </c>
      <c r="M31" s="678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396" t="s">
        <v>445</v>
      </c>
      <c r="D33" s="1397"/>
      <c r="E33" s="1397"/>
      <c r="F33" s="967">
        <f>G33+H33</f>
        <v>-2767.12</v>
      </c>
      <c r="G33" s="945">
        <v>-2075.34</v>
      </c>
      <c r="H33" s="961">
        <v>-691.78</v>
      </c>
      <c r="I33" s="967">
        <f>+J33+K33</f>
        <v>-3000</v>
      </c>
      <c r="J33" s="945">
        <v>-2250</v>
      </c>
      <c r="K33" s="961">
        <v>-750</v>
      </c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7" t="s">
        <v>446</v>
      </c>
      <c r="D34" s="998"/>
      <c r="E34" s="999"/>
      <c r="F34" s="968">
        <f>G34+H34</f>
        <v>24736.99</v>
      </c>
      <c r="G34" s="678">
        <f>+G19+G31+G33</f>
        <v>18552.740000000002</v>
      </c>
      <c r="H34" s="1001">
        <f>+H19+H31+H33</f>
        <v>6184.25</v>
      </c>
      <c r="I34" s="969">
        <f>J34+K34</f>
        <v>21736.99</v>
      </c>
      <c r="J34" s="678">
        <f>J19+J31+SUM(J33:J33)</f>
        <v>16302.740000000002</v>
      </c>
      <c r="K34" s="1001">
        <f>K19+K31+SUM(K33:K33)</f>
        <v>5434.25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8" t="s">
        <v>792</v>
      </c>
      <c r="D37" s="1379"/>
      <c r="E37" s="1386"/>
      <c r="F37" s="1387"/>
      <c r="G37" s="1365" t="s">
        <v>799</v>
      </c>
      <c r="H37" s="1366"/>
      <c r="I37" s="1365" t="s">
        <v>800</v>
      </c>
      <c r="J37" s="1366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76" t="s">
        <v>793</v>
      </c>
      <c r="D38" s="1377"/>
      <c r="E38" s="1384" t="s">
        <v>439</v>
      </c>
      <c r="F38" s="1385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7" t="s">
        <v>1040</v>
      </c>
      <c r="D39" s="564"/>
      <c r="E39" s="1380" t="s">
        <v>1041</v>
      </c>
      <c r="F39" s="1381"/>
      <c r="G39" s="485">
        <v>26412.720000000001</v>
      </c>
      <c r="H39" s="514">
        <v>25353.65</v>
      </c>
      <c r="I39" s="898"/>
      <c r="J39" s="898"/>
      <c r="K39" s="1463"/>
      <c r="L39" s="1463"/>
      <c r="M39" s="1464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4" t="s">
        <v>1042</v>
      </c>
      <c r="D40" s="566"/>
      <c r="E40" s="1382" t="s">
        <v>1043</v>
      </c>
      <c r="F40" s="1371"/>
      <c r="G40" s="496">
        <v>8460.34</v>
      </c>
      <c r="H40" s="516">
        <v>8460.34</v>
      </c>
      <c r="I40" s="899"/>
      <c r="J40" s="899">
        <v>8460.34</v>
      </c>
      <c r="K40" s="1465" t="s">
        <v>1070</v>
      </c>
      <c r="L40" s="1465" t="s">
        <v>1071</v>
      </c>
      <c r="M40" s="1470" t="s">
        <v>1072</v>
      </c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1254" t="s">
        <v>1044</v>
      </c>
      <c r="D41" s="566"/>
      <c r="E41" s="1383" t="s">
        <v>1043</v>
      </c>
      <c r="F41" s="1375"/>
      <c r="G41" s="496">
        <v>4028.84</v>
      </c>
      <c r="H41" s="516">
        <v>4028.84</v>
      </c>
      <c r="I41" s="899"/>
      <c r="J41" s="899">
        <v>4028.84</v>
      </c>
      <c r="K41" s="1465" t="s">
        <v>1070</v>
      </c>
      <c r="L41" s="1465" t="s">
        <v>1073</v>
      </c>
      <c r="M41" s="1470" t="s">
        <v>1072</v>
      </c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1254" t="s">
        <v>1045</v>
      </c>
      <c r="D42" s="566"/>
      <c r="E42" s="1383" t="s">
        <v>1043</v>
      </c>
      <c r="F42" s="1375"/>
      <c r="G42" s="496">
        <v>5000</v>
      </c>
      <c r="H42" s="516">
        <v>5000</v>
      </c>
      <c r="I42" s="899"/>
      <c r="J42" s="899">
        <v>5000</v>
      </c>
      <c r="K42" s="1465" t="s">
        <v>1070</v>
      </c>
      <c r="L42" s="1465" t="s">
        <v>1071</v>
      </c>
      <c r="M42" s="1470" t="s">
        <v>1072</v>
      </c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1254" t="s">
        <v>1046</v>
      </c>
      <c r="D43" s="566"/>
      <c r="E43" s="1383" t="s">
        <v>1043</v>
      </c>
      <c r="F43" s="1375"/>
      <c r="G43" s="489">
        <v>21189</v>
      </c>
      <c r="H43" s="517">
        <v>26742</v>
      </c>
      <c r="I43" s="900"/>
      <c r="J43" s="900"/>
      <c r="K43" s="1466"/>
      <c r="L43" s="1466"/>
      <c r="M43" s="1467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1254" t="s">
        <v>1048</v>
      </c>
      <c r="D44" s="566"/>
      <c r="E44" s="1383" t="s">
        <v>1043</v>
      </c>
      <c r="F44" s="1375"/>
      <c r="G44" s="489"/>
      <c r="H44" s="517">
        <v>25000</v>
      </c>
      <c r="I44" s="900"/>
      <c r="J44" s="900">
        <v>25000</v>
      </c>
      <c r="K44" s="1466" t="s">
        <v>1070</v>
      </c>
      <c r="L44" s="1466" t="s">
        <v>1074</v>
      </c>
      <c r="M44" s="1471" t="s">
        <v>1072</v>
      </c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70"/>
      <c r="F45" s="1371"/>
      <c r="G45" s="489"/>
      <c r="H45" s="517"/>
      <c r="I45" s="900"/>
      <c r="J45" s="900"/>
      <c r="K45" s="1466"/>
      <c r="L45" s="1466"/>
      <c r="M45" s="1467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70"/>
      <c r="F46" s="1371"/>
      <c r="G46" s="498"/>
      <c r="H46" s="518"/>
      <c r="I46" s="901"/>
      <c r="J46" s="901"/>
      <c r="K46" s="1468"/>
      <c r="L46" s="1468"/>
      <c r="M46" s="1469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565"/>
      <c r="D47" s="566"/>
      <c r="E47" s="1370"/>
      <c r="F47" s="1371"/>
      <c r="G47" s="498"/>
      <c r="H47" s="518"/>
      <c r="I47" s="901"/>
      <c r="J47" s="901"/>
      <c r="K47" s="1468"/>
      <c r="L47" s="1468"/>
      <c r="M47" s="1469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7"/>
      <c r="D48" s="568"/>
      <c r="E48" s="1372"/>
      <c r="F48" s="1373"/>
      <c r="G48" s="493"/>
      <c r="H48" s="519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 thickBot="1">
      <c r="B49" s="119"/>
      <c r="C49" s="1367" t="s">
        <v>444</v>
      </c>
      <c r="D49" s="1368"/>
      <c r="E49" s="1368"/>
      <c r="F49" s="1369"/>
      <c r="G49" s="178">
        <f>SUM(G39:G48)</f>
        <v>65090.899999999994</v>
      </c>
      <c r="H49" s="178">
        <f>SUM(H39:H48)</f>
        <v>94584.83</v>
      </c>
      <c r="I49" s="178">
        <f t="shared" ref="I49:J49" si="1">SUM(I39:I48)</f>
        <v>0</v>
      </c>
      <c r="J49" s="178">
        <f t="shared" si="1"/>
        <v>42489.18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8" t="s">
        <v>792</v>
      </c>
      <c r="D52" s="1379"/>
      <c r="E52" s="1386"/>
      <c r="F52" s="1387"/>
      <c r="G52" s="1365" t="s">
        <v>801</v>
      </c>
      <c r="H52" s="1366"/>
      <c r="I52" s="1365" t="s">
        <v>802</v>
      </c>
      <c r="J52" s="1366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376" t="s">
        <v>793</v>
      </c>
      <c r="D53" s="1377"/>
      <c r="E53" s="1384" t="s">
        <v>439</v>
      </c>
      <c r="F53" s="1385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007"/>
      <c r="D54" s="564"/>
      <c r="E54" s="1380"/>
      <c r="F54" s="1381"/>
      <c r="G54" s="485"/>
      <c r="H54" s="514"/>
      <c r="I54" s="898"/>
      <c r="J54" s="898"/>
      <c r="K54" s="847"/>
      <c r="L54" s="847"/>
      <c r="M54" s="848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565"/>
      <c r="D55" s="566"/>
      <c r="E55" s="1370"/>
      <c r="F55" s="1371"/>
      <c r="G55" s="496"/>
      <c r="H55" s="516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565"/>
      <c r="D56" s="566"/>
      <c r="E56" s="1374"/>
      <c r="F56" s="1375"/>
      <c r="G56" s="496"/>
      <c r="H56" s="516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74"/>
      <c r="F57" s="1375"/>
      <c r="G57" s="496"/>
      <c r="H57" s="516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74"/>
      <c r="F58" s="1375"/>
      <c r="G58" s="489"/>
      <c r="H58" s="517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74"/>
      <c r="F59" s="1375"/>
      <c r="G59" s="489"/>
      <c r="H59" s="517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70"/>
      <c r="F60" s="1371"/>
      <c r="G60" s="489"/>
      <c r="H60" s="517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70"/>
      <c r="F61" s="1371"/>
      <c r="G61" s="498"/>
      <c r="H61" s="518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70"/>
      <c r="F62" s="1371"/>
      <c r="G62" s="498"/>
      <c r="H62" s="518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7"/>
      <c r="D63" s="568"/>
      <c r="E63" s="1372"/>
      <c r="F63" s="1373"/>
      <c r="G63" s="493"/>
      <c r="H63" s="519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 thickBot="1">
      <c r="B64" s="119"/>
      <c r="C64" s="1367" t="s">
        <v>444</v>
      </c>
      <c r="D64" s="1368"/>
      <c r="E64" s="1368"/>
      <c r="F64" s="1369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350" t="s">
        <v>792</v>
      </c>
      <c r="D67" s="1352"/>
      <c r="E67" s="1365" t="s">
        <v>439</v>
      </c>
      <c r="F67" s="1366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3"/>
      <c r="D68" s="564"/>
      <c r="E68" s="1370"/>
      <c r="F68" s="1371"/>
      <c r="G68" s="485"/>
      <c r="H68" s="514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70"/>
      <c r="F69" s="1371"/>
      <c r="G69" s="496"/>
      <c r="H69" s="516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70"/>
      <c r="F70" s="1371"/>
      <c r="G70" s="496"/>
      <c r="H70" s="516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70"/>
      <c r="F71" s="1371"/>
      <c r="G71" s="496"/>
      <c r="H71" s="516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70"/>
      <c r="F72" s="1371"/>
      <c r="G72" s="489"/>
      <c r="H72" s="517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70"/>
      <c r="F73" s="1371"/>
      <c r="G73" s="489"/>
      <c r="H73" s="517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70"/>
      <c r="F74" s="1371"/>
      <c r="G74" s="489"/>
      <c r="H74" s="517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70"/>
      <c r="F75" s="1371"/>
      <c r="G75" s="498"/>
      <c r="H75" s="518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70"/>
      <c r="F76" s="1371"/>
      <c r="G76" s="498"/>
      <c r="H76" s="518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7"/>
      <c r="D77" s="568"/>
      <c r="E77" s="1370"/>
      <c r="F77" s="1371"/>
      <c r="G77" s="493"/>
      <c r="H77" s="519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 thickBot="1">
      <c r="B78" s="119"/>
      <c r="C78" s="1367" t="s">
        <v>816</v>
      </c>
      <c r="D78" s="1368"/>
      <c r="E78" s="1368"/>
      <c r="F78" s="1369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8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.1" customHeight="1" thickBot="1">
      <c r="B108" s="123"/>
      <c r="C108" s="1290"/>
      <c r="D108" s="1290"/>
      <c r="E108" s="1290"/>
      <c r="F108" s="1290"/>
      <c r="G108" s="1290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.1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.1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zoomScale="58" zoomScaleNormal="58" zoomScalePageLayoutView="58" workbookViewId="0">
      <selection activeCell="G19" sqref="G19"/>
    </sheetView>
  </sheetViews>
  <sheetFormatPr baseColWidth="10" defaultColWidth="10.6640625" defaultRowHeight="23.1" customHeight="1"/>
  <cols>
    <col min="1" max="1" width="4.33203125" style="619" bestFit="1" customWidth="1"/>
    <col min="2" max="2" width="3.3320312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33203125" style="621" customWidth="1"/>
    <col min="10" max="10" width="16" style="621" customWidth="1"/>
    <col min="11" max="12" width="15.6640625" style="621" customWidth="1"/>
    <col min="13" max="13" width="16.5546875" style="621" customWidth="1"/>
    <col min="14" max="14" width="17" style="621" customWidth="1"/>
    <col min="15" max="19" width="15.6640625" style="621" customWidth="1"/>
    <col min="20" max="20" width="3.33203125" style="619" customWidth="1"/>
    <col min="21" max="21" width="10.6640625" style="619"/>
    <col min="22" max="22" width="11.33203125" style="619" bestFit="1" customWidth="1"/>
    <col min="23" max="16384" width="10.66406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3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3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285" t="str">
        <f>Entidad</f>
        <v>CULTESA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9.1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3.1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400" t="s">
        <v>1011</v>
      </c>
      <c r="S16" s="1401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3.1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3.1" customHeight="1">
      <c r="B18" s="642"/>
      <c r="C18" s="523"/>
      <c r="D18" s="980"/>
      <c r="E18" s="979"/>
      <c r="F18" s="979"/>
      <c r="G18" s="1257"/>
      <c r="H18" s="1258"/>
      <c r="I18" s="1258"/>
      <c r="J18" s="799"/>
      <c r="K18" s="589"/>
      <c r="L18" s="589"/>
      <c r="M18" s="800"/>
      <c r="N18" s="800"/>
      <c r="O18" s="800"/>
      <c r="P18" s="728"/>
      <c r="Q18" s="1026">
        <f>L18+M18-N18</f>
        <v>0</v>
      </c>
      <c r="R18" s="859"/>
      <c r="S18" s="860"/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3.1" customHeight="1">
      <c r="B19" s="642"/>
      <c r="C19" s="523"/>
      <c r="D19" s="980"/>
      <c r="E19" s="1259"/>
      <c r="F19" s="979"/>
      <c r="G19" s="1257"/>
      <c r="H19" s="1258"/>
      <c r="I19" s="1258"/>
      <c r="J19" s="1258"/>
      <c r="K19" s="589"/>
      <c r="L19" s="589"/>
      <c r="M19" s="1052"/>
      <c r="N19" s="589"/>
      <c r="O19" s="589"/>
      <c r="P19" s="728"/>
      <c r="Q19" s="1026">
        <f t="shared" ref="Q19:Q42" si="0">L19+M19-N19</f>
        <v>0</v>
      </c>
      <c r="R19" s="861"/>
      <c r="S19" s="862"/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3.1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8"/>
      <c r="Q20" s="1026">
        <f t="shared" si="0"/>
        <v>0</v>
      </c>
      <c r="R20" s="861"/>
      <c r="S20" s="862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3.1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8"/>
      <c r="Q21" s="1026">
        <f t="shared" si="0"/>
        <v>0</v>
      </c>
      <c r="R21" s="861"/>
      <c r="S21" s="862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3.1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6">
        <f t="shared" si="0"/>
        <v>0</v>
      </c>
      <c r="R22" s="861"/>
      <c r="S22" s="862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3.1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6">
        <f t="shared" si="0"/>
        <v>0</v>
      </c>
      <c r="R23" s="861"/>
      <c r="S23" s="862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3.1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6">
        <f t="shared" si="0"/>
        <v>0</v>
      </c>
      <c r="R24" s="861"/>
      <c r="S24" s="862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3.1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6">
        <f t="shared" si="0"/>
        <v>0</v>
      </c>
      <c r="R25" s="861"/>
      <c r="S25" s="862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3.1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6">
        <f t="shared" si="0"/>
        <v>0</v>
      </c>
      <c r="R26" s="861"/>
      <c r="S26" s="862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3.1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6">
        <f t="shared" si="0"/>
        <v>0</v>
      </c>
      <c r="R27" s="861"/>
      <c r="S27" s="862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6">
        <f t="shared" si="0"/>
        <v>0</v>
      </c>
      <c r="R28" s="861"/>
      <c r="S28" s="862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6">
        <f t="shared" si="0"/>
        <v>0</v>
      </c>
      <c r="R29" s="861"/>
      <c r="S29" s="862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6">
        <f t="shared" si="0"/>
        <v>0</v>
      </c>
      <c r="R30" s="861"/>
      <c r="S30" s="862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6">
        <f t="shared" si="0"/>
        <v>0</v>
      </c>
      <c r="R31" s="861"/>
      <c r="S31" s="862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6">
        <f t="shared" si="0"/>
        <v>0</v>
      </c>
      <c r="R32" s="861"/>
      <c r="S32" s="862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6">
        <f>L33+M33-N33</f>
        <v>0</v>
      </c>
      <c r="R33" s="861"/>
      <c r="S33" s="862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6">
        <f t="shared" si="0"/>
        <v>0</v>
      </c>
      <c r="R34" s="861"/>
      <c r="S34" s="862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6">
        <f t="shared" si="0"/>
        <v>0</v>
      </c>
      <c r="R35" s="861"/>
      <c r="S35" s="862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6">
        <f t="shared" si="0"/>
        <v>0</v>
      </c>
      <c r="R36" s="861"/>
      <c r="S36" s="862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6">
        <f t="shared" si="0"/>
        <v>0</v>
      </c>
      <c r="R37" s="861"/>
      <c r="S37" s="862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6">
        <f t="shared" si="0"/>
        <v>0</v>
      </c>
      <c r="R38" s="861"/>
      <c r="S38" s="862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6">
        <f t="shared" si="0"/>
        <v>0</v>
      </c>
      <c r="R39" s="861"/>
      <c r="S39" s="862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6">
        <f t="shared" si="0"/>
        <v>0</v>
      </c>
      <c r="R40" s="861"/>
      <c r="S40" s="862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7">
        <f>L41+M41-N41</f>
        <v>0</v>
      </c>
      <c r="R41" s="861"/>
      <c r="S41" s="862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8">
        <f t="shared" si="0"/>
        <v>0</v>
      </c>
      <c r="R42" s="863"/>
      <c r="S42" s="864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3.1" customHeight="1" thickBot="1">
      <c r="B43" s="642"/>
      <c r="C43" s="620"/>
      <c r="D43" s="620"/>
      <c r="E43" s="1006"/>
      <c r="F43" s="1006"/>
      <c r="G43" s="1006"/>
      <c r="H43" s="1402" t="s">
        <v>476</v>
      </c>
      <c r="I43" s="1403"/>
      <c r="J43" s="1404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8">
        <f t="shared" si="1"/>
        <v>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3.1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3.1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3.1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3.1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400" t="s">
        <v>1011</v>
      </c>
      <c r="S48" s="1401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3.1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3.1" customHeight="1">
      <c r="B50" s="642"/>
      <c r="C50" s="523"/>
      <c r="D50" s="980"/>
      <c r="E50" s="581"/>
      <c r="F50" s="581"/>
      <c r="G50" s="1257"/>
      <c r="H50" s="581"/>
      <c r="I50" s="1258"/>
      <c r="J50" s="799"/>
      <c r="K50" s="589"/>
      <c r="L50" s="589"/>
      <c r="M50" s="800"/>
      <c r="N50" s="800"/>
      <c r="O50" s="800"/>
      <c r="P50" s="728"/>
      <c r="Q50" s="1035">
        <f>L50+M50-N50</f>
        <v>0</v>
      </c>
      <c r="R50" s="859"/>
      <c r="S50" s="860"/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3.1" customHeight="1">
      <c r="B51" s="642"/>
      <c r="C51" s="523"/>
      <c r="D51" s="980"/>
      <c r="E51" s="581"/>
      <c r="F51" s="581"/>
      <c r="G51" s="1257"/>
      <c r="H51" s="1258"/>
      <c r="I51" s="1258"/>
      <c r="J51" s="1258"/>
      <c r="K51" s="589"/>
      <c r="L51" s="589"/>
      <c r="M51" s="589"/>
      <c r="N51" s="589"/>
      <c r="O51" s="589"/>
      <c r="P51" s="728"/>
      <c r="Q51" s="1026">
        <f t="shared" ref="Q51:Q74" si="2">L51+M51-N51</f>
        <v>0</v>
      </c>
      <c r="R51" s="861"/>
      <c r="S51" s="862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6">
        <f t="shared" si="2"/>
        <v>0</v>
      </c>
      <c r="R52" s="861"/>
      <c r="S52" s="862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6">
        <f t="shared" si="2"/>
        <v>0</v>
      </c>
      <c r="R53" s="861"/>
      <c r="S53" s="862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6">
        <f t="shared" si="2"/>
        <v>0</v>
      </c>
      <c r="R54" s="861"/>
      <c r="S54" s="862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6">
        <f t="shared" si="2"/>
        <v>0</v>
      </c>
      <c r="R55" s="861"/>
      <c r="S55" s="862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6">
        <f t="shared" si="2"/>
        <v>0</v>
      </c>
      <c r="R56" s="861"/>
      <c r="S56" s="862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6">
        <f t="shared" si="2"/>
        <v>0</v>
      </c>
      <c r="R57" s="861"/>
      <c r="S57" s="862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6">
        <f t="shared" si="2"/>
        <v>0</v>
      </c>
      <c r="R58" s="861"/>
      <c r="S58" s="862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6">
        <f t="shared" si="2"/>
        <v>0</v>
      </c>
      <c r="R59" s="861"/>
      <c r="S59" s="862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6">
        <f t="shared" si="2"/>
        <v>0</v>
      </c>
      <c r="R60" s="861"/>
      <c r="S60" s="862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6">
        <f t="shared" si="2"/>
        <v>0</v>
      </c>
      <c r="R61" s="861"/>
      <c r="S61" s="862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6">
        <f t="shared" si="2"/>
        <v>0</v>
      </c>
      <c r="R62" s="861"/>
      <c r="S62" s="862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6">
        <f t="shared" si="2"/>
        <v>0</v>
      </c>
      <c r="R63" s="861"/>
      <c r="S63" s="862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6">
        <f t="shared" si="2"/>
        <v>0</v>
      </c>
      <c r="R64" s="861"/>
      <c r="S64" s="862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6">
        <f t="shared" si="2"/>
        <v>0</v>
      </c>
      <c r="R65" s="861"/>
      <c r="S65" s="862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6">
        <f t="shared" si="2"/>
        <v>0</v>
      </c>
      <c r="R66" s="861"/>
      <c r="S66" s="862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6">
        <f t="shared" si="2"/>
        <v>0</v>
      </c>
      <c r="R67" s="861"/>
      <c r="S67" s="862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6">
        <f t="shared" si="2"/>
        <v>0</v>
      </c>
      <c r="R68" s="861"/>
      <c r="S68" s="862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6">
        <f t="shared" si="2"/>
        <v>0</v>
      </c>
      <c r="R69" s="861"/>
      <c r="S69" s="862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6">
        <f t="shared" si="2"/>
        <v>0</v>
      </c>
      <c r="R70" s="861"/>
      <c r="S70" s="862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6">
        <f t="shared" si="2"/>
        <v>0</v>
      </c>
      <c r="R71" s="861"/>
      <c r="S71" s="862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6">
        <f t="shared" si="2"/>
        <v>0</v>
      </c>
      <c r="R72" s="861"/>
      <c r="S72" s="862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7">
        <f t="shared" si="2"/>
        <v>0</v>
      </c>
      <c r="R73" s="861"/>
      <c r="S73" s="862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8">
        <f t="shared" si="2"/>
        <v>0</v>
      </c>
      <c r="R74" s="863"/>
      <c r="S74" s="864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3.1" customHeight="1" thickBot="1">
      <c r="B75" s="642"/>
      <c r="C75" s="620"/>
      <c r="D75" s="620"/>
      <c r="E75" s="1006"/>
      <c r="F75" s="1006"/>
      <c r="G75" s="1006"/>
      <c r="H75" s="1402" t="s">
        <v>476</v>
      </c>
      <c r="I75" s="1403"/>
      <c r="J75" s="1404"/>
      <c r="K75" s="1029">
        <f t="shared" ref="K75:L75" si="3">SUM(K50:K74)</f>
        <v>0</v>
      </c>
      <c r="L75" s="1030">
        <f t="shared" si="3"/>
        <v>0</v>
      </c>
      <c r="M75" s="1031">
        <f>SUM(M50:M74)</f>
        <v>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0</v>
      </c>
      <c r="R75" s="1031">
        <f>SUM(R50:R74)</f>
        <v>0</v>
      </c>
      <c r="S75" s="678">
        <f>SUM(S50:S74)</f>
        <v>0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3.1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3.1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3.1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3.1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8.1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400" t="s">
        <v>1011</v>
      </c>
      <c r="S80" s="1401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3.1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799"/>
      <c r="K82" s="589"/>
      <c r="L82" s="589"/>
      <c r="M82" s="800"/>
      <c r="N82" s="800"/>
      <c r="O82" s="800"/>
      <c r="P82" s="728"/>
      <c r="Q82" s="1035">
        <f>L82+M82-N82</f>
        <v>0</v>
      </c>
      <c r="R82" s="859"/>
      <c r="S82" s="860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6">
        <f t="shared" ref="Q83:Q106" si="5">L83+M83-N83</f>
        <v>0</v>
      </c>
      <c r="R83" s="861"/>
      <c r="S83" s="862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6">
        <f t="shared" si="5"/>
        <v>0</v>
      </c>
      <c r="R84" s="861"/>
      <c r="S84" s="862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6">
        <f t="shared" si="5"/>
        <v>0</v>
      </c>
      <c r="R85" s="861"/>
      <c r="S85" s="862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6">
        <f t="shared" si="5"/>
        <v>0</v>
      </c>
      <c r="R86" s="861"/>
      <c r="S86" s="862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6">
        <f t="shared" si="5"/>
        <v>0</v>
      </c>
      <c r="R87" s="861"/>
      <c r="S87" s="862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6">
        <f t="shared" si="5"/>
        <v>0</v>
      </c>
      <c r="R88" s="861"/>
      <c r="S88" s="862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6">
        <f t="shared" si="5"/>
        <v>0</v>
      </c>
      <c r="R89" s="861"/>
      <c r="S89" s="862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6">
        <f t="shared" si="5"/>
        <v>0</v>
      </c>
      <c r="R90" s="861"/>
      <c r="S90" s="862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6">
        <f t="shared" si="5"/>
        <v>0</v>
      </c>
      <c r="R91" s="861"/>
      <c r="S91" s="862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6">
        <f t="shared" si="5"/>
        <v>0</v>
      </c>
      <c r="R92" s="861"/>
      <c r="S92" s="862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6">
        <f t="shared" si="5"/>
        <v>0</v>
      </c>
      <c r="R93" s="861"/>
      <c r="S93" s="862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6">
        <f t="shared" si="5"/>
        <v>0</v>
      </c>
      <c r="R94" s="861"/>
      <c r="S94" s="862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6">
        <f t="shared" si="5"/>
        <v>0</v>
      </c>
      <c r="R95" s="861"/>
      <c r="S95" s="862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6">
        <f t="shared" si="5"/>
        <v>0</v>
      </c>
      <c r="R96" s="861"/>
      <c r="S96" s="862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6">
        <f t="shared" si="5"/>
        <v>0</v>
      </c>
      <c r="R97" s="861"/>
      <c r="S97" s="862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6">
        <f t="shared" si="5"/>
        <v>0</v>
      </c>
      <c r="R98" s="861"/>
      <c r="S98" s="862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6">
        <f t="shared" si="5"/>
        <v>0</v>
      </c>
      <c r="R99" s="861"/>
      <c r="S99" s="862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6">
        <f t="shared" si="5"/>
        <v>0</v>
      </c>
      <c r="R100" s="861"/>
      <c r="S100" s="862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6">
        <f t="shared" si="5"/>
        <v>0</v>
      </c>
      <c r="R101" s="861"/>
      <c r="S101" s="862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6">
        <f t="shared" si="5"/>
        <v>0</v>
      </c>
      <c r="R102" s="861"/>
      <c r="S102" s="862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6">
        <f t="shared" si="5"/>
        <v>0</v>
      </c>
      <c r="R103" s="861"/>
      <c r="S103" s="862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6">
        <f t="shared" si="5"/>
        <v>0</v>
      </c>
      <c r="R104" s="861"/>
      <c r="S104" s="862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7">
        <f t="shared" si="5"/>
        <v>0</v>
      </c>
      <c r="R105" s="861"/>
      <c r="S105" s="862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8">
        <f t="shared" si="5"/>
        <v>0</v>
      </c>
      <c r="R106" s="863"/>
      <c r="S106" s="864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3.1" customHeight="1" thickBot="1">
      <c r="B107" s="642"/>
      <c r="C107" s="620"/>
      <c r="D107" s="620"/>
      <c r="E107" s="1006"/>
      <c r="F107" s="1006"/>
      <c r="G107" s="1006"/>
      <c r="H107" s="1402" t="s">
        <v>476</v>
      </c>
      <c r="I107" s="1403"/>
      <c r="J107" s="1404"/>
      <c r="K107" s="1029">
        <f>SUM(K82:K106)</f>
        <v>0</v>
      </c>
      <c r="L107" s="1030">
        <f t="shared" ref="L107" si="6">SUM(L82:L106)</f>
        <v>0</v>
      </c>
      <c r="M107" s="1031">
        <f>SUM(M82:M106)</f>
        <v>0</v>
      </c>
      <c r="N107" s="1031">
        <f t="shared" ref="N107" si="7">SUM(N82:N106)</f>
        <v>0</v>
      </c>
      <c r="O107" s="1029">
        <f>SUM(O82:O106)</f>
        <v>0</v>
      </c>
      <c r="P107" s="1029">
        <f>SUM(P82:P106)</f>
        <v>0</v>
      </c>
      <c r="Q107" s="1032">
        <f>SUM(Q82:Q106)</f>
        <v>0</v>
      </c>
      <c r="R107" s="1031">
        <f>SUM(R82:R106)</f>
        <v>0</v>
      </c>
      <c r="S107" s="678">
        <f>SUM(S82:S106)</f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3.1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3.1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3.1" customHeight="1" thickBot="1">
      <c r="B120" s="701"/>
      <c r="C120" s="1284"/>
      <c r="D120" s="1284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75" zoomScaleNormal="75" zoomScalePageLayoutView="75" workbookViewId="0">
      <selection activeCell="F20" sqref="F20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14.44140625" style="99" customWidth="1"/>
    <col min="5" max="5" width="26.6640625" style="100" customWidth="1"/>
    <col min="6" max="9" width="13.44140625" style="100" customWidth="1"/>
    <col min="10" max="10" width="3.33203125" style="99" customWidth="1"/>
    <col min="11" max="16384" width="10.66406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2"/>
      <c r="D12" s="1362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05" t="s">
        <v>454</v>
      </c>
      <c r="H13" s="1406"/>
      <c r="I13" s="1407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08" t="s">
        <v>448</v>
      </c>
      <c r="D15" s="1409"/>
      <c r="E15" s="1410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1"/>
      <c r="D25" s="1411"/>
      <c r="E25" s="1411"/>
      <c r="F25" s="1411"/>
      <c r="G25" s="1411"/>
      <c r="H25" s="1411"/>
      <c r="I25" s="1411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1"/>
      <c r="D29" s="1411"/>
      <c r="E29" s="1411"/>
      <c r="F29" s="1411"/>
      <c r="G29" s="1411"/>
      <c r="H29" s="1411"/>
      <c r="I29" s="1411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0"/>
      <c r="D36" s="1290"/>
      <c r="E36" s="1290"/>
      <c r="F36" s="129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57" zoomScaleNormal="57" zoomScalePageLayoutView="57" workbookViewId="0">
      <selection activeCell="I20" sqref="I20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33203125" style="99" customWidth="1"/>
    <col min="16" max="16384" width="10.66406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2"/>
      <c r="D12" s="1362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12" t="s">
        <v>466</v>
      </c>
      <c r="F13" s="1413"/>
      <c r="G13" s="1413"/>
      <c r="H13" s="1413"/>
      <c r="I13" s="1413"/>
      <c r="J13" s="1413"/>
      <c r="K13" s="1413"/>
      <c r="L13" s="1413"/>
      <c r="M13" s="1413"/>
      <c r="N13" s="1414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08" t="s">
        <v>448</v>
      </c>
      <c r="D14" s="1409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0"/>
      <c r="D24" s="129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30" zoomScale="82" zoomScaleNormal="82" zoomScalePageLayoutView="82" workbookViewId="0">
      <selection activeCell="F31" sqref="F31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5.33203125" style="99" customWidth="1"/>
    <col min="4" max="4" width="18.6640625" style="99" customWidth="1"/>
    <col min="5" max="5" width="13.33203125" style="99" customWidth="1"/>
    <col min="6" max="10" width="18.6640625" style="100" customWidth="1"/>
    <col min="11" max="11" width="3.33203125" style="99" customWidth="1"/>
    <col min="12" max="16384" width="10.66406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1" t="str">
        <f>Entidad</f>
        <v>CULTESA</v>
      </c>
      <c r="F9" s="1291"/>
      <c r="G9" s="1291"/>
      <c r="H9" s="1291"/>
      <c r="I9" s="1291"/>
      <c r="J9" s="129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2"/>
      <c r="D12" s="1362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33.5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679772.42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0" t="s">
        <v>508</v>
      </c>
      <c r="G36" s="1351"/>
      <c r="H36" s="1351"/>
      <c r="I36" s="1351"/>
      <c r="J36" s="135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98" t="s">
        <v>490</v>
      </c>
      <c r="D37" s="1399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76" t="s">
        <v>62</v>
      </c>
      <c r="D38" s="1377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1</v>
      </c>
      <c r="F40" s="584">
        <v>45415.83</v>
      </c>
      <c r="G40" s="584"/>
      <c r="H40" s="584"/>
      <c r="I40" s="584">
        <v>8593.08</v>
      </c>
      <c r="J40" s="594">
        <f>SUM(F40:I40)</f>
        <v>54008.91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26</v>
      </c>
      <c r="F42" s="584">
        <v>210582.14</v>
      </c>
      <c r="G42" s="584"/>
      <c r="H42" s="584"/>
      <c r="I42" s="584">
        <v>241387.34</v>
      </c>
      <c r="J42" s="594">
        <f t="shared" si="0"/>
        <v>451969.48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>
        <v>6.5</v>
      </c>
      <c r="F43" s="584">
        <v>44385.77</v>
      </c>
      <c r="G43" s="584"/>
      <c r="H43" s="584"/>
      <c r="I43" s="584">
        <v>28385.46</v>
      </c>
      <c r="J43" s="594">
        <f t="shared" si="0"/>
        <v>72771.23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15" t="s">
        <v>510</v>
      </c>
      <c r="D45" s="1416"/>
      <c r="E45" s="275">
        <f t="shared" ref="E45:J45" si="1">SUM(E39:E44)</f>
        <v>33.5</v>
      </c>
      <c r="F45" s="275">
        <f t="shared" si="1"/>
        <v>300383.74000000005</v>
      </c>
      <c r="G45" s="275">
        <f t="shared" si="1"/>
        <v>0</v>
      </c>
      <c r="H45" s="275">
        <f t="shared" si="1"/>
        <v>0</v>
      </c>
      <c r="I45" s="275">
        <f t="shared" si="1"/>
        <v>278365.88</v>
      </c>
      <c r="J45" s="275">
        <f t="shared" si="1"/>
        <v>578749.62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0" t="s">
        <v>448</v>
      </c>
      <c r="D50" s="1351"/>
      <c r="E50" s="1417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9881.92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91140.88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15" t="s">
        <v>510</v>
      </c>
      <c r="D53" s="1418"/>
      <c r="E53" s="276"/>
      <c r="F53" s="275">
        <f>SUM(F51:F52)</f>
        <v>101022.8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0"/>
      <c r="E65" s="129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zoomScale="50" zoomScaleNormal="50" zoomScalePageLayoutView="50" workbookViewId="0">
      <selection activeCell="G17" sqref="G17:G22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66.33203125" style="99" customWidth="1"/>
    <col min="5" max="5" width="14.33203125" style="100" customWidth="1"/>
    <col min="6" max="6" width="2.6640625" style="100" customWidth="1"/>
    <col min="7" max="7" width="79.33203125" style="100" customWidth="1"/>
    <col min="8" max="8" width="14.33203125" style="100" customWidth="1"/>
    <col min="9" max="9" width="3.33203125" style="99" customWidth="1"/>
    <col min="10" max="16384" width="10.66406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291"/>
      <c r="H9" s="129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2"/>
      <c r="D12" s="1362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1" t="s">
        <v>518</v>
      </c>
      <c r="D13" s="1422"/>
      <c r="E13" s="1422"/>
      <c r="F13" s="1422"/>
      <c r="G13" s="1422"/>
      <c r="H13" s="1423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0" t="s">
        <v>521</v>
      </c>
      <c r="D15" s="1351"/>
      <c r="E15" s="1352"/>
      <c r="F15" s="154"/>
      <c r="G15" s="1350" t="s">
        <v>522</v>
      </c>
      <c r="H15" s="135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0" t="s">
        <v>439</v>
      </c>
      <c r="D16" s="135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>
        <v>40851.870000000003</v>
      </c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>
        <v>17000</v>
      </c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19" t="s">
        <v>476</v>
      </c>
      <c r="D56" s="1420"/>
      <c r="E56" s="178">
        <f>SUM(E17:E55)</f>
        <v>0</v>
      </c>
      <c r="F56" s="154"/>
      <c r="G56" s="223" t="s">
        <v>476</v>
      </c>
      <c r="H56" s="178">
        <f>SUM(H17:H55)</f>
        <v>57851.87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1" t="s">
        <v>791</v>
      </c>
      <c r="D58" s="1422"/>
      <c r="E58" s="1422"/>
      <c r="F58" s="1422"/>
      <c r="G58" s="1422"/>
      <c r="H58" s="1423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1" t="s">
        <v>518</v>
      </c>
      <c r="D60" s="1422"/>
      <c r="E60" s="1422"/>
      <c r="F60" s="1422"/>
      <c r="G60" s="1422"/>
      <c r="H60" s="1423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0" t="s">
        <v>521</v>
      </c>
      <c r="D62" s="1351"/>
      <c r="E62" s="1352"/>
      <c r="F62" s="154"/>
      <c r="G62" s="1350" t="s">
        <v>522</v>
      </c>
      <c r="H62" s="135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0" t="s">
        <v>439</v>
      </c>
      <c r="D63" s="135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19" t="s">
        <v>476</v>
      </c>
      <c r="D69" s="1420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0"/>
      <c r="D75" s="129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44" zoomScaleNormal="44" zoomScalePageLayoutView="80" workbookViewId="0">
      <pane ySplit="14" topLeftCell="A36" activePane="bottomLeft" state="frozen"/>
      <selection pane="bottomLeft" activeCell="G32" sqref="G32"/>
    </sheetView>
  </sheetViews>
  <sheetFormatPr baseColWidth="10" defaultColWidth="10.6640625" defaultRowHeight="23.1" customHeight="1"/>
  <cols>
    <col min="1" max="1" width="3" style="283" customWidth="1"/>
    <col min="2" max="2" width="3.33203125" style="283" customWidth="1"/>
    <col min="3" max="3" width="12.33203125" style="283" customWidth="1"/>
    <col min="4" max="4" width="73.6640625" style="283" customWidth="1"/>
    <col min="5" max="7" width="39.33203125" style="283" customWidth="1"/>
    <col min="8" max="8" width="3.5546875" style="283" customWidth="1"/>
    <col min="9" max="9" width="10.6640625" style="283"/>
    <col min="10" max="12" width="4.33203125" style="283" customWidth="1"/>
    <col min="13" max="13" width="11.5546875" style="283" bestFit="1" customWidth="1"/>
    <col min="14" max="16384" width="10.66406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2" t="str">
        <f>Entidad</f>
        <v>CULTESA</v>
      </c>
      <c r="E9" s="1282"/>
      <c r="F9" s="1282"/>
      <c r="G9" s="1282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3.1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Ok</v>
      </c>
      <c r="F17" s="874" t="str">
        <f>IF(_GENERAL!D14="Normal",IF(ROUND('FC-5_EFE'!G92,2)=ROUND(('FC-5_EFE'!G95-'FC-5_EFE'!G94),2),"Ok","Mal, revisa FC-5"),"No aplica")</f>
        <v>Ok</v>
      </c>
      <c r="G17" s="874" t="str">
        <f>IF(_GENERAL!D14="Normal",IF(ROUND('FC-5_EFE'!H92,2)=ROUND(('FC-5_EFE'!H95-'FC-5_EFE'!H94),2),"Ok","Mal, revisa FC-5"),"No aplica")</f>
        <v>Ok</v>
      </c>
      <c r="H17" s="870"/>
      <c r="J17" s="872">
        <f t="shared" si="0"/>
        <v>0</v>
      </c>
      <c r="K17" s="872">
        <f t="shared" si="1"/>
        <v>0</v>
      </c>
      <c r="L17" s="872">
        <f t="shared" si="2"/>
        <v>0</v>
      </c>
      <c r="M17" s="872">
        <f t="shared" si="3"/>
        <v>0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zoomScale="55" zoomScaleNormal="55" zoomScalePageLayoutView="55" workbookViewId="0">
      <selection activeCell="L56" sqref="L56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99.5546875" style="99" customWidth="1"/>
    <col min="5" max="7" width="17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2"/>
      <c r="D12" s="1362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0"/>
      <c r="D35" s="129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B4" zoomScale="77" zoomScaleNormal="77" zoomScalePageLayoutView="77" workbookViewId="0">
      <selection activeCell="F41" sqref="F41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7.6640625" style="100" customWidth="1"/>
    <col min="6" max="6" width="44.6640625" style="100" customWidth="1"/>
    <col min="7" max="7" width="10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2"/>
      <c r="D12" s="1362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76" t="s">
        <v>448</v>
      </c>
      <c r="D18" s="1377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15" t="s">
        <v>577</v>
      </c>
      <c r="D20" s="1416"/>
      <c r="E20" s="275">
        <f>SUM(E21:E29)</f>
        <v>1570372.33</v>
      </c>
      <c r="F20" s="1428"/>
      <c r="G20" s="1429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1475787.5</v>
      </c>
      <c r="F21" s="1430"/>
      <c r="G21" s="1431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24"/>
      <c r="G22" s="1425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0</v>
      </c>
      <c r="F23" s="1424"/>
      <c r="G23" s="1425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94584.83</v>
      </c>
      <c r="F24" s="1424"/>
      <c r="G24" s="1425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24"/>
      <c r="G25" s="1425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24"/>
      <c r="G26" s="1425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24"/>
      <c r="G27" s="1425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7" t="s">
        <v>787</v>
      </c>
      <c r="D28" s="269"/>
      <c r="E28" s="611">
        <f>+'FC-9_TRANS_SUBV'!H64+'FC-9_TRANS_SUBV'!H78</f>
        <v>0</v>
      </c>
      <c r="F28" s="1424"/>
      <c r="G28" s="1425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0</v>
      </c>
      <c r="F29" s="1426"/>
      <c r="G29" s="1427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15" t="s">
        <v>586</v>
      </c>
      <c r="D31" s="1416"/>
      <c r="E31" s="275">
        <f>SUM(E32:E43)</f>
        <v>-1421054.51</v>
      </c>
      <c r="F31" s="1428"/>
      <c r="G31" s="1429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-431636.02</v>
      </c>
      <c r="F32" s="1424"/>
      <c r="G32" s="1425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-679772.41999999993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-287376.07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-1270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-21000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2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24" t="s">
        <v>1020</v>
      </c>
      <c r="G42" s="1425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26" t="s">
        <v>1020</v>
      </c>
      <c r="G43" s="1427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149317.82000000007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0"/>
      <c r="D49" s="129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7" workbookViewId="0">
      <selection activeCell="E26" sqref="E26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7.6640625" style="100" customWidth="1"/>
    <col min="6" max="6" width="12.33203125" style="100" customWidth="1"/>
    <col min="7" max="7" width="3.33203125" style="99" customWidth="1"/>
    <col min="8" max="16384" width="10.66406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1" t="str">
        <f>Entidad</f>
        <v>CULTESA</v>
      </c>
      <c r="E9" s="1291"/>
      <c r="F9" s="129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2"/>
      <c r="D12" s="1362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0" t="s">
        <v>448</v>
      </c>
      <c r="D14" s="135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2" t="s">
        <v>600</v>
      </c>
      <c r="D16" s="1433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2" t="s">
        <v>607</v>
      </c>
      <c r="D21" s="1433"/>
      <c r="E21" s="609">
        <f>+'FC-3_1_INF_ADIC_CPyG'!K40</f>
        <v>1475787.5</v>
      </c>
      <c r="F21" s="309">
        <f>E21/$E$33</f>
        <v>0.92483767169097542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2" t="s">
        <v>608</v>
      </c>
      <c r="D23" s="1433"/>
      <c r="E23" s="301">
        <f>SUM(E24:E26)</f>
        <v>119938.48000000001</v>
      </c>
      <c r="F23" s="309">
        <f t="shared" ref="F23:F26" si="1">E23/$E$33</f>
        <v>7.5162328309024598E-2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'FC-9_TRANS_SUBV'!H49+'FC-9_TRANS_SUBV'!H64</f>
        <v>94584.83</v>
      </c>
      <c r="F24" s="305">
        <f t="shared" si="1"/>
        <v>5.927385477549222E-2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25353.65</v>
      </c>
      <c r="F25" s="306">
        <f t="shared" si="1"/>
        <v>1.5888473533532368E-2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2" t="s">
        <v>612</v>
      </c>
      <c r="D28" s="1433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34" t="s">
        <v>613</v>
      </c>
      <c r="D33" s="1435"/>
      <c r="E33" s="297">
        <f>E28+E23+E21+E16</f>
        <v>1595725.98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0"/>
      <c r="D40" s="129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1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37" workbookViewId="0">
      <selection activeCell="C57" sqref="C57:D57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6.6640625" style="100" customWidth="1"/>
    <col min="6" max="6" width="3.33203125" style="99" customWidth="1"/>
    <col min="7" max="16384" width="10.66406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1" t="str">
        <f>Entidad</f>
        <v>CULTESA</v>
      </c>
      <c r="E9" s="1291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2"/>
      <c r="D12" s="1362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0" t="s">
        <v>629</v>
      </c>
      <c r="D14" s="135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1475787.5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94584.83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.1" customHeight="1">
      <c r="B21" s="190"/>
      <c r="C21" s="1432" t="s">
        <v>620</v>
      </c>
      <c r="D21" s="1433"/>
      <c r="E21" s="301">
        <f>SUM(E16:E20)</f>
        <v>1570372.33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32" t="s">
        <v>623</v>
      </c>
      <c r="D25" s="1433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.1" customHeight="1">
      <c r="B29" s="190"/>
      <c r="C29" s="1432" t="s">
        <v>626</v>
      </c>
      <c r="D29" s="1433"/>
      <c r="E29" s="301">
        <f>SUM(E27:E28)</f>
        <v>0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36" t="s">
        <v>627</v>
      </c>
      <c r="D31" s="1437"/>
      <c r="E31" s="310">
        <f>E21+E25+E29</f>
        <v>1570372.33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2" t="s">
        <v>628</v>
      </c>
      <c r="D33" s="1433"/>
      <c r="E33" s="301">
        <f>'_FC-90_DETALLE'!H72</f>
        <v>3000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3.1" customHeight="1" thickBot="1">
      <c r="B35" s="113"/>
      <c r="C35" s="1436" t="s">
        <v>627</v>
      </c>
      <c r="D35" s="1437"/>
      <c r="E35" s="310">
        <f>E31+E33</f>
        <v>1573372.33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0" t="s">
        <v>630</v>
      </c>
      <c r="D37" s="135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679772.41999999993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720282.09000000008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2" t="s">
        <v>634</v>
      </c>
      <c r="D43" s="1433"/>
      <c r="E43" s="301">
        <f>SUM(E39:E42)</f>
        <v>1400054.51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21000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2" t="s">
        <v>636</v>
      </c>
      <c r="D47" s="1433"/>
      <c r="E47" s="301">
        <f>SUM(E45:E46)</f>
        <v>21000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.1" customHeight="1">
      <c r="B51" s="190"/>
      <c r="C51" s="1432" t="s">
        <v>637</v>
      </c>
      <c r="D51" s="1433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36" t="s">
        <v>638</v>
      </c>
      <c r="D53" s="1437"/>
      <c r="E53" s="310">
        <f>E43+E47+E51</f>
        <v>1421054.51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2" t="s">
        <v>639</v>
      </c>
      <c r="D55" s="1433"/>
      <c r="E55" s="301">
        <f>'_FC-90_DETALLE'!H151</f>
        <v>169723.64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36" t="s">
        <v>638</v>
      </c>
      <c r="D57" s="1437"/>
      <c r="E57" s="310">
        <f>E53+E55</f>
        <v>1590778.15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-17405.819999999832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17405.820000000094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2.6193447411060333E-10</v>
      </c>
      <c r="F63" s="191"/>
    </row>
    <row r="64" spans="2:8" ht="23.1" customHeight="1" thickTop="1" thickBot="1">
      <c r="B64" s="123"/>
      <c r="C64" s="1290"/>
      <c r="D64" s="1290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6640625" defaultRowHeight="23.1" customHeight="1"/>
  <cols>
    <col min="1" max="2" width="3.33203125" style="621" customWidth="1"/>
    <col min="3" max="3" width="13.33203125" style="621" customWidth="1"/>
    <col min="4" max="4" width="88.33203125" style="621" customWidth="1"/>
    <col min="5" max="7" width="21.6640625" style="1053" customWidth="1"/>
    <col min="8" max="8" width="21.6640625" style="621" customWidth="1"/>
    <col min="9" max="9" width="3.33203125" style="621" customWidth="1"/>
    <col min="10" max="10" width="10" style="621" customWidth="1"/>
    <col min="11" max="11" width="62" style="621" customWidth="1"/>
    <col min="12" max="16384" width="10.6640625" style="621"/>
  </cols>
  <sheetData>
    <row r="1" spans="2:11" ht="33" customHeight="1"/>
    <row r="2" spans="2:11" ht="29.1" customHeight="1">
      <c r="D2" s="1054" t="s">
        <v>374</v>
      </c>
      <c r="E2" s="1055"/>
      <c r="F2" s="1055"/>
      <c r="G2" s="1055"/>
    </row>
    <row r="3" spans="2:11" ht="29.1" customHeight="1">
      <c r="D3" s="1054" t="s">
        <v>375</v>
      </c>
      <c r="E3" s="1055"/>
      <c r="F3" s="1055"/>
      <c r="G3" s="1055"/>
    </row>
    <row r="4" spans="2:11" ht="18" customHeight="1" thickBot="1"/>
    <row r="5" spans="2:11" ht="12.75">
      <c r="B5" s="1056"/>
      <c r="C5" s="624"/>
      <c r="D5" s="624"/>
      <c r="E5" s="1057"/>
      <c r="F5" s="1057"/>
      <c r="G5" s="1057"/>
      <c r="H5" s="624"/>
      <c r="I5" s="1058"/>
    </row>
    <row r="6" spans="2:11" ht="15.75">
      <c r="B6" s="1059"/>
      <c r="C6" s="1060" t="s">
        <v>0</v>
      </c>
      <c r="D6" s="629"/>
      <c r="E6" s="1061"/>
      <c r="F6" s="1061"/>
      <c r="G6" s="1061"/>
      <c r="H6" s="1460">
        <f>ejercicio</f>
        <v>2019</v>
      </c>
      <c r="I6" s="1062"/>
    </row>
    <row r="7" spans="2:11" ht="15.75">
      <c r="B7" s="1059"/>
      <c r="C7" s="1060" t="s">
        <v>1</v>
      </c>
      <c r="D7" s="629"/>
      <c r="E7" s="1061"/>
      <c r="F7" s="1061"/>
      <c r="G7" s="1061"/>
      <c r="H7" s="1460"/>
      <c r="I7" s="1062"/>
    </row>
    <row r="8" spans="2:11" ht="12.75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2.35" customHeight="1">
      <c r="B9" s="1064"/>
      <c r="C9" s="1065" t="s">
        <v>2</v>
      </c>
      <c r="D9" s="1461" t="str">
        <f>Entidad</f>
        <v>CULTESA</v>
      </c>
      <c r="E9" s="1461"/>
      <c r="F9" s="1461"/>
      <c r="G9" s="1461"/>
      <c r="H9" s="1461"/>
      <c r="I9" s="1066"/>
    </row>
    <row r="10" spans="2:11" ht="12.75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8">
      <c r="B12" s="1068"/>
      <c r="C12" s="1462"/>
      <c r="D12" s="1462"/>
      <c r="E12" s="1055"/>
      <c r="F12" s="1055"/>
      <c r="G12" s="1055"/>
      <c r="H12" s="640"/>
      <c r="I12" s="1070"/>
    </row>
    <row r="13" spans="2:11" ht="18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3.25">
      <c r="B14" s="1074"/>
      <c r="C14" s="1447" t="s">
        <v>629</v>
      </c>
      <c r="D14" s="1448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8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8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8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8">
      <c r="B18" s="1079"/>
      <c r="C18" s="1080" t="s">
        <v>199</v>
      </c>
      <c r="D18" s="1081" t="s">
        <v>617</v>
      </c>
      <c r="E18" s="1082">
        <f>SUM(E19:E25)</f>
        <v>1475787.5</v>
      </c>
      <c r="F18" s="1082">
        <f>SUM(F19:F25)</f>
        <v>0</v>
      </c>
      <c r="G18" s="1082">
        <f>SUM(G19:G25)</f>
        <v>0</v>
      </c>
      <c r="H18" s="1082">
        <f>SUM(H19:H25)</f>
        <v>1475787.5</v>
      </c>
      <c r="I18" s="1084"/>
      <c r="K18" s="1207"/>
    </row>
    <row r="19" spans="2:12" s="1092" customFormat="1" ht="18" hidden="1">
      <c r="B19" s="1072"/>
      <c r="C19" s="1086" t="s">
        <v>41</v>
      </c>
      <c r="D19" s="1087" t="s">
        <v>837</v>
      </c>
      <c r="E19" s="1088">
        <f>'FC-3_CPyG'!G16</f>
        <v>1475787.5</v>
      </c>
      <c r="F19" s="1089"/>
      <c r="G19" s="1193"/>
      <c r="H19" s="1090">
        <f t="shared" ref="H19:H25" si="0">SUM(E19:G19)</f>
        <v>1475787.5</v>
      </c>
      <c r="I19" s="1091"/>
      <c r="K19" s="1207"/>
    </row>
    <row r="20" spans="2:12" s="1092" customFormat="1" ht="18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8" hidden="1">
      <c r="B21" s="1072"/>
      <c r="C21" s="1086" t="s">
        <v>47</v>
      </c>
      <c r="D21" s="1087" t="s">
        <v>839</v>
      </c>
      <c r="E21" s="1088">
        <f>'FC-3_1_INF_ADIC_CPyG'!G74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8" hidden="1">
      <c r="B22" s="1072"/>
      <c r="C22" s="1086" t="s">
        <v>47</v>
      </c>
      <c r="D22" s="1087" t="s">
        <v>840</v>
      </c>
      <c r="E22" s="1088">
        <f>'FC-3_1_INF_ADIC_CPyG'!G47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8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8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8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8">
      <c r="B26" s="1079"/>
      <c r="C26" s="1080" t="s">
        <v>203</v>
      </c>
      <c r="D26" s="1081" t="s">
        <v>618</v>
      </c>
      <c r="E26" s="1082">
        <f>SUM(E27:E30)</f>
        <v>94584.83</v>
      </c>
      <c r="F26" s="1082">
        <f>SUM(F27:F30)</f>
        <v>0</v>
      </c>
      <c r="G26" s="1082">
        <f>SUM(G27:G30)</f>
        <v>0</v>
      </c>
      <c r="H26" s="1082">
        <f>SUM(H27:H30)</f>
        <v>94584.83</v>
      </c>
      <c r="I26" s="1084"/>
      <c r="K26" s="1207"/>
    </row>
    <row r="27" spans="2:12" s="1092" customFormat="1" ht="18" hidden="1">
      <c r="B27" s="1072"/>
      <c r="C27" s="1086" t="s">
        <v>41</v>
      </c>
      <c r="D27" s="1087" t="s">
        <v>842</v>
      </c>
      <c r="E27" s="1088">
        <f>'FC-3_CPyG'!G29</f>
        <v>94584.83</v>
      </c>
      <c r="F27" s="1089"/>
      <c r="G27" s="1193"/>
      <c r="H27" s="1090">
        <f>SUM(E27:G27)</f>
        <v>94584.83</v>
      </c>
      <c r="I27" s="1091"/>
      <c r="K27" s="1207"/>
    </row>
    <row r="28" spans="2:12" s="1092" customFormat="1" ht="18" hidden="1">
      <c r="B28" s="1072"/>
      <c r="C28" s="1086" t="s">
        <v>54</v>
      </c>
      <c r="D28" s="1105" t="s">
        <v>843</v>
      </c>
      <c r="E28" s="1089"/>
      <c r="F28" s="1106">
        <f>'FC-9_TRANS_SUBV'!H64</f>
        <v>0</v>
      </c>
      <c r="G28" s="1193"/>
      <c r="H28" s="1090">
        <f>SUM(E28:G28)</f>
        <v>0</v>
      </c>
      <c r="I28" s="1091"/>
      <c r="K28" s="1207"/>
      <c r="L28" s="1093"/>
    </row>
    <row r="29" spans="2:12" s="1092" customFormat="1" ht="18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8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8">
      <c r="B31" s="1079"/>
      <c r="C31" s="1080" t="s">
        <v>211</v>
      </c>
      <c r="D31" s="1081" t="s">
        <v>619</v>
      </c>
      <c r="E31" s="1082">
        <f>SUM(E32:E38)</f>
        <v>0</v>
      </c>
      <c r="F31" s="1082">
        <f>SUM(F32:F38)</f>
        <v>0</v>
      </c>
      <c r="G31" s="1082">
        <f>SUM(G32:G38)</f>
        <v>0</v>
      </c>
      <c r="H31" s="1082">
        <f>SUM(H32:H38)</f>
        <v>0</v>
      </c>
      <c r="I31" s="1084"/>
      <c r="K31" s="1207"/>
    </row>
    <row r="32" spans="2:12" s="1092" customFormat="1" ht="18" hidden="1">
      <c r="B32" s="1072"/>
      <c r="C32" s="1094" t="s">
        <v>47</v>
      </c>
      <c r="D32" s="1095" t="s">
        <v>844</v>
      </c>
      <c r="E32" s="1096">
        <f>'FC-3_1_INF_ADIC_CPyG'!G73</f>
        <v>0</v>
      </c>
      <c r="F32" s="1089"/>
      <c r="G32" s="1195"/>
      <c r="H32" s="1090">
        <f>SUM(E32:G32)</f>
        <v>0</v>
      </c>
      <c r="I32" s="1091"/>
      <c r="K32" s="1207"/>
    </row>
    <row r="33" spans="2:12" s="1099" customFormat="1" ht="18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8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8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8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8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8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8">
      <c r="B39" s="1100"/>
      <c r="C39" s="1449" t="s">
        <v>620</v>
      </c>
      <c r="D39" s="1450"/>
      <c r="E39" s="1101">
        <f>E16+E17+E18+E26+E31</f>
        <v>1570372.33</v>
      </c>
      <c r="F39" s="1101">
        <f>F16+F17+F18+F26+F31</f>
        <v>0</v>
      </c>
      <c r="G39" s="1101">
        <f>G16+G17+G18+G26+G31</f>
        <v>0</v>
      </c>
      <c r="H39" s="1101">
        <f>H16+H17+H18+H26+H31</f>
        <v>1570372.33</v>
      </c>
      <c r="I39" s="1102"/>
      <c r="K39" s="1207"/>
    </row>
    <row r="40" spans="2:12" s="1067" customFormat="1" ht="15.75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8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8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8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8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8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8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8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8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8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8">
      <c r="B50" s="1112"/>
      <c r="C50" s="1441" t="s">
        <v>623</v>
      </c>
      <c r="D50" s="1442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.75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8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0</v>
      </c>
      <c r="G52" s="1116">
        <f>SUM(G53:G58)</f>
        <v>0</v>
      </c>
      <c r="H52" s="1116">
        <f>SUM(H53:H58)</f>
        <v>0</v>
      </c>
      <c r="I52" s="1098"/>
      <c r="K52" s="1207"/>
    </row>
    <row r="53" spans="2:13" s="1092" customFormat="1" ht="18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8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4">SUM(E54:G54)</f>
        <v>0</v>
      </c>
      <c r="I54" s="1110"/>
      <c r="K54" s="1207"/>
      <c r="L54" s="1107" t="s">
        <v>850</v>
      </c>
    </row>
    <row r="55" spans="2:13" s="1111" customFormat="1" ht="18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8" hidden="1">
      <c r="B56" s="1108"/>
      <c r="C56" s="1086" t="s">
        <v>52</v>
      </c>
      <c r="D56" s="1105" t="s">
        <v>854</v>
      </c>
      <c r="E56" s="1109"/>
      <c r="F56" s="1106">
        <f>-'FC-8_INV_FINANCIERAS'!H58</f>
        <v>0</v>
      </c>
      <c r="G56" s="975"/>
      <c r="H56" s="1090">
        <f t="shared" si="4"/>
        <v>0</v>
      </c>
      <c r="I56" s="1110"/>
      <c r="K56" s="1207"/>
      <c r="L56" s="1107" t="s">
        <v>850</v>
      </c>
    </row>
    <row r="57" spans="2:13" s="1111" customFormat="1" ht="18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8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8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0</v>
      </c>
      <c r="G59" s="1122">
        <f>SUM(G60:G67)</f>
        <v>0</v>
      </c>
      <c r="H59" s="1122">
        <f>SUM(H60:H67)</f>
        <v>0</v>
      </c>
      <c r="I59" s="1098"/>
      <c r="K59" s="1207"/>
    </row>
    <row r="60" spans="2:13" s="1111" customFormat="1" ht="18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8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8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8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4"/>
        <v>0</v>
      </c>
      <c r="I63" s="1110"/>
      <c r="K63" s="1207"/>
    </row>
    <row r="64" spans="2:13" s="1111" customFormat="1" ht="18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4"/>
        <v>0</v>
      </c>
      <c r="I64" s="1110"/>
      <c r="K64" s="1207"/>
    </row>
    <row r="65" spans="2:12" s="1111" customFormat="1" ht="18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8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8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8">
      <c r="B68" s="1068"/>
      <c r="C68" s="1441" t="s">
        <v>626</v>
      </c>
      <c r="D68" s="1442"/>
      <c r="E68" s="1075">
        <f>E52+E59</f>
        <v>0</v>
      </c>
      <c r="F68" s="1075">
        <f>F52+F59</f>
        <v>0</v>
      </c>
      <c r="G68" s="1075">
        <f>G52+G59</f>
        <v>0</v>
      </c>
      <c r="H68" s="1075">
        <f>H52+H59</f>
        <v>0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" thickBot="1">
      <c r="B70" s="1128"/>
      <c r="C70" s="1443" t="s">
        <v>859</v>
      </c>
      <c r="D70" s="1444"/>
      <c r="E70" s="1129">
        <f>E68+E50+E39</f>
        <v>1570372.33</v>
      </c>
      <c r="F70" s="1129">
        <f>F68+F50+F39</f>
        <v>0</v>
      </c>
      <c r="G70" s="1129">
        <f>G68+G50+G39</f>
        <v>0</v>
      </c>
      <c r="H70" s="1129">
        <f>H68+H50+H39</f>
        <v>1570372.33</v>
      </c>
      <c r="I70" s="1130"/>
      <c r="K70" s="1207"/>
    </row>
    <row r="71" spans="2:12" s="1067" customFormat="1" ht="15.75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8">
      <c r="B72" s="1064"/>
      <c r="C72" s="1445" t="s">
        <v>628</v>
      </c>
      <c r="D72" s="1446"/>
      <c r="E72" s="1132">
        <f>SUM(E73:E80)</f>
        <v>3000</v>
      </c>
      <c r="F72" s="1132">
        <f>SUM(F73:F80)</f>
        <v>0</v>
      </c>
      <c r="G72" s="1132">
        <f>SUM(G73:G80)</f>
        <v>0</v>
      </c>
      <c r="H72" s="1132">
        <f>SUM(H73:H80)</f>
        <v>3000</v>
      </c>
      <c r="I72" s="1066"/>
      <c r="K72" s="1207"/>
    </row>
    <row r="73" spans="2:12" s="1099" customFormat="1" ht="18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8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8" hidden="1">
      <c r="B75" s="1097"/>
      <c r="C75" s="1086" t="s">
        <v>41</v>
      </c>
      <c r="D75" s="1087" t="s">
        <v>864</v>
      </c>
      <c r="E75" s="1088">
        <f>'FC-3_CPyG'!G41</f>
        <v>3000</v>
      </c>
      <c r="F75" s="1089"/>
      <c r="G75" s="1089"/>
      <c r="H75" s="1090">
        <f t="shared" si="5"/>
        <v>3000</v>
      </c>
      <c r="I75" s="1098"/>
      <c r="K75" s="1207"/>
    </row>
    <row r="76" spans="2:12" s="1099" customFormat="1" ht="18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8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8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8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8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.75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.75" thickBot="1">
      <c r="B82" s="1134"/>
      <c r="C82" s="1439" t="s">
        <v>870</v>
      </c>
      <c r="D82" s="1440"/>
      <c r="E82" s="1135">
        <f>E70+E72</f>
        <v>1573372.33</v>
      </c>
      <c r="F82" s="1135">
        <f t="shared" ref="F82:H82" si="6">F70+F72</f>
        <v>0</v>
      </c>
      <c r="G82" s="1135">
        <f t="shared" si="6"/>
        <v>0</v>
      </c>
      <c r="H82" s="1135">
        <f t="shared" si="6"/>
        <v>1573372.33</v>
      </c>
      <c r="I82" s="1136"/>
      <c r="J82" s="1137"/>
      <c r="K82" s="1207"/>
    </row>
    <row r="83" spans="2:12" s="1067" customFormat="1" ht="18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8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3.25">
      <c r="B85" s="1074"/>
      <c r="C85" s="1447" t="s">
        <v>630</v>
      </c>
      <c r="D85" s="1448"/>
      <c r="E85" s="1142"/>
      <c r="F85" s="1142"/>
      <c r="G85" s="1142"/>
      <c r="H85" s="1143" t="s">
        <v>475</v>
      </c>
      <c r="I85" s="1076"/>
      <c r="K85" s="1207"/>
    </row>
    <row r="86" spans="2:12" ht="18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8">
      <c r="B87" s="1079"/>
      <c r="C87" s="1080" t="s">
        <v>184</v>
      </c>
      <c r="D87" s="1081" t="s">
        <v>631</v>
      </c>
      <c r="E87" s="1082">
        <f>SUM(E88:E91)</f>
        <v>679772.41999999993</v>
      </c>
      <c r="F87" s="1082">
        <f>SUM(F88:F91)</f>
        <v>0</v>
      </c>
      <c r="G87" s="1082">
        <f>SUM(G88:G91)</f>
        <v>0</v>
      </c>
      <c r="H87" s="1082">
        <f>SUM(H88:H91)</f>
        <v>679772.41999999993</v>
      </c>
      <c r="I87" s="1084"/>
      <c r="K87" s="1207"/>
    </row>
    <row r="88" spans="2:12" s="1067" customFormat="1" ht="18" hidden="1">
      <c r="B88" s="1064"/>
      <c r="C88" s="1086" t="s">
        <v>41</v>
      </c>
      <c r="D88" s="1087" t="s">
        <v>871</v>
      </c>
      <c r="E88" s="1088">
        <f>-'FC-3_CPyG'!G30</f>
        <v>679772.41999999993</v>
      </c>
      <c r="F88" s="1089"/>
      <c r="G88" s="1089"/>
      <c r="H88" s="1090">
        <f>F88+E88</f>
        <v>679772.41999999993</v>
      </c>
      <c r="I88" s="1066"/>
      <c r="K88" s="1207"/>
    </row>
    <row r="89" spans="2:12" s="1067" customFormat="1" ht="18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8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8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8">
      <c r="B92" s="1079"/>
      <c r="C92" s="1144" t="s">
        <v>194</v>
      </c>
      <c r="D92" s="1145" t="s">
        <v>632</v>
      </c>
      <c r="E92" s="1146">
        <f>SUM(E93:E104)</f>
        <v>720282.09000000008</v>
      </c>
      <c r="F92" s="1146">
        <f t="shared" ref="F92" si="7">SUM(F93:F104)</f>
        <v>0</v>
      </c>
      <c r="G92" s="1146">
        <f>SUM(G93:G104)</f>
        <v>0</v>
      </c>
      <c r="H92" s="1146">
        <f>SUM(H93:H104)</f>
        <v>720282.09000000008</v>
      </c>
      <c r="I92" s="1084"/>
      <c r="K92" s="1207"/>
    </row>
    <row r="93" spans="2:12" s="1067" customFormat="1" ht="18" hidden="1">
      <c r="B93" s="1064"/>
      <c r="C93" s="1086" t="s">
        <v>873</v>
      </c>
      <c r="D93" s="1087" t="s">
        <v>874</v>
      </c>
      <c r="E93" s="1088">
        <f>-'FC-3_CPyG'!G22</f>
        <v>431636.02</v>
      </c>
      <c r="F93" s="1089"/>
      <c r="G93" s="1089"/>
      <c r="H93" s="1090">
        <f>SUM(E93:G93)</f>
        <v>431636.02</v>
      </c>
      <c r="I93" s="1066"/>
      <c r="K93" s="1207"/>
      <c r="L93" s="1093" t="s">
        <v>969</v>
      </c>
    </row>
    <row r="94" spans="2:12" s="1067" customFormat="1" ht="18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8" hidden="1">
      <c r="B95" s="1064"/>
      <c r="C95" s="1086" t="s">
        <v>41</v>
      </c>
      <c r="D95" s="1087" t="s">
        <v>876</v>
      </c>
      <c r="E95" s="1088">
        <f>-'FC-3_CPyG'!G35</f>
        <v>287376.07</v>
      </c>
      <c r="F95" s="1089"/>
      <c r="G95" s="1089"/>
      <c r="H95" s="1090">
        <f t="shared" si="8"/>
        <v>287376.07</v>
      </c>
      <c r="I95" s="1066"/>
      <c r="K95" s="1207"/>
    </row>
    <row r="96" spans="2:12" s="1067" customFormat="1" ht="18" hidden="1">
      <c r="B96" s="1064"/>
      <c r="C96" s="1086" t="s">
        <v>41</v>
      </c>
      <c r="D96" s="1087" t="s">
        <v>877</v>
      </c>
      <c r="E96" s="1088">
        <f>-'FC-3_CPyG'!G36</f>
        <v>1270</v>
      </c>
      <c r="F96" s="1089"/>
      <c r="G96" s="1089"/>
      <c r="H96" s="1090">
        <f t="shared" si="8"/>
        <v>1270</v>
      </c>
      <c r="I96" s="1066"/>
      <c r="K96" s="1207"/>
    </row>
    <row r="97" spans="2:12" s="1067" customFormat="1" ht="18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8"/>
        <v>0</v>
      </c>
      <c r="I97" s="1066"/>
      <c r="K97" s="1207"/>
    </row>
    <row r="98" spans="2:12" s="1067" customFormat="1" ht="18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8" hidden="1">
      <c r="B99" s="1064"/>
      <c r="C99" s="1086" t="s">
        <v>41</v>
      </c>
      <c r="D99" s="1087" t="s">
        <v>880</v>
      </c>
      <c r="E99" s="1088">
        <f>-'FC-3_CPyG'!G77</f>
        <v>0</v>
      </c>
      <c r="F99" s="1089"/>
      <c r="G99" s="1089"/>
      <c r="H99" s="1090">
        <f t="shared" si="8"/>
        <v>0</v>
      </c>
      <c r="I99" s="1066"/>
      <c r="K99" s="1207"/>
    </row>
    <row r="100" spans="2:12" s="1067" customFormat="1" ht="18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8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8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8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8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8">
      <c r="B105" s="1079"/>
      <c r="C105" s="1144" t="s">
        <v>199</v>
      </c>
      <c r="D105" s="1145" t="s">
        <v>390</v>
      </c>
      <c r="E105" s="1146">
        <f>SUM(E106:E110)</f>
        <v>0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0</v>
      </c>
      <c r="I105" s="1084"/>
      <c r="K105" s="1207"/>
    </row>
    <row r="106" spans="2:12" s="1067" customFormat="1" ht="18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8" hidden="1">
      <c r="B107" s="1064"/>
      <c r="C107" s="1086" t="s">
        <v>41</v>
      </c>
      <c r="D107" s="1087" t="s">
        <v>885</v>
      </c>
      <c r="E107" s="1088">
        <f>-'FC-3_CPyG'!G61</f>
        <v>0</v>
      </c>
      <c r="F107" s="1089"/>
      <c r="G107" s="1089"/>
      <c r="H107" s="1090">
        <f t="shared" si="8"/>
        <v>0</v>
      </c>
      <c r="I107" s="1066"/>
      <c r="K107" s="1207"/>
    </row>
    <row r="108" spans="2:12" s="1067" customFormat="1" ht="18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8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8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8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7.100000000000001" hidden="1" customHeight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7.100000000000001" hidden="1" customHeight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8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8">
      <c r="B115" s="1112"/>
      <c r="C115" s="1441" t="s">
        <v>634</v>
      </c>
      <c r="D115" s="1442"/>
      <c r="E115" s="1075">
        <f>E87+E92+E105+E111</f>
        <v>1400054.51</v>
      </c>
      <c r="F115" s="1075">
        <f t="shared" ref="F115:H115" si="10">F87+F92+F105+F111</f>
        <v>0</v>
      </c>
      <c r="G115" s="1075">
        <f t="shared" si="10"/>
        <v>0</v>
      </c>
      <c r="H115" s="1075">
        <f t="shared" si="10"/>
        <v>1400054.51</v>
      </c>
      <c r="I115" s="1113"/>
      <c r="K115" s="1207"/>
    </row>
    <row r="116" spans="2:12" s="1067" customFormat="1" ht="15.75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8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21000</v>
      </c>
      <c r="G117" s="1082">
        <f t="shared" si="11"/>
        <v>0</v>
      </c>
      <c r="H117" s="1082">
        <f>SUM(H118:H121)</f>
        <v>21000</v>
      </c>
      <c r="I117" s="1084"/>
      <c r="K117" s="1207"/>
    </row>
    <row r="118" spans="2:12" s="1067" customFormat="1" ht="18" hidden="1">
      <c r="B118" s="1064"/>
      <c r="C118" s="1086" t="s">
        <v>50</v>
      </c>
      <c r="D118" s="1105" t="s">
        <v>888</v>
      </c>
      <c r="E118" s="1089"/>
      <c r="F118" s="1118">
        <f>+'FC-7_INF'!F31</f>
        <v>21000</v>
      </c>
      <c r="G118" s="1196"/>
      <c r="H118" s="1090">
        <f>SUM(E118:G118)</f>
        <v>21000</v>
      </c>
      <c r="I118" s="1066"/>
      <c r="K118" s="1207"/>
    </row>
    <row r="119" spans="2:12" s="1099" customFormat="1" ht="18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8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8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8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8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8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8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8">
      <c r="B126" s="1112"/>
      <c r="C126" s="1441" t="s">
        <v>636</v>
      </c>
      <c r="D126" s="1442"/>
      <c r="E126" s="1075">
        <f>+E117+E122</f>
        <v>0</v>
      </c>
      <c r="F126" s="1075">
        <f t="shared" ref="F126:H126" si="12">+F117+F122</f>
        <v>21000</v>
      </c>
      <c r="G126" s="1075">
        <f t="shared" si="12"/>
        <v>0</v>
      </c>
      <c r="H126" s="1075">
        <f t="shared" si="12"/>
        <v>21000</v>
      </c>
      <c r="I126" s="1113"/>
      <c r="K126" s="1207"/>
    </row>
    <row r="127" spans="2:12" s="1067" customFormat="1" ht="15.75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8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8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8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8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8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8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8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8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0</v>
      </c>
      <c r="G135" s="1116">
        <f>SUM(G136:G143)</f>
        <v>0</v>
      </c>
      <c r="H135" s="1116">
        <f>SUM(H136:H143)</f>
        <v>0</v>
      </c>
      <c r="I135" s="1098"/>
      <c r="K135" s="1207"/>
    </row>
    <row r="136" spans="2:12" s="1099" customFormat="1" ht="18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14">SUM(E136:G136)</f>
        <v>0</v>
      </c>
      <c r="I136" s="1098"/>
      <c r="K136" s="1207"/>
    </row>
    <row r="137" spans="2:12" s="1099" customFormat="1" ht="18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8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8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8" hidden="1">
      <c r="B140" s="1097"/>
      <c r="C140" s="1086" t="s">
        <v>56</v>
      </c>
      <c r="D140" s="1105" t="s">
        <v>895</v>
      </c>
      <c r="E140" s="1089"/>
      <c r="F140" s="1123">
        <f>'FC-10_DEUDAS'!N107</f>
        <v>0</v>
      </c>
      <c r="G140" s="976"/>
      <c r="H140" s="1090">
        <f t="shared" si="14"/>
        <v>0</v>
      </c>
      <c r="I140" s="1098"/>
      <c r="K140" s="1207"/>
    </row>
    <row r="141" spans="2:12" s="1099" customFormat="1" ht="18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8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8" hidden="1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8">
      <c r="B144" s="1100"/>
      <c r="C144" s="1449" t="s">
        <v>637</v>
      </c>
      <c r="D144" s="1450"/>
      <c r="E144" s="1101">
        <f>+E128+E135</f>
        <v>0</v>
      </c>
      <c r="F144" s="1101">
        <f>+F128+F135</f>
        <v>0</v>
      </c>
      <c r="G144" s="1101">
        <f>+G128+G135</f>
        <v>0</v>
      </c>
      <c r="H144" s="1101">
        <f>+H128+H135</f>
        <v>0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.75" thickBot="1">
      <c r="B146" s="1112"/>
      <c r="C146" s="1451" t="s">
        <v>897</v>
      </c>
      <c r="D146" s="1452"/>
      <c r="E146" s="1156">
        <f>+E115+E126+E144</f>
        <v>1400054.51</v>
      </c>
      <c r="F146" s="1156">
        <f>+F115+F126+F144</f>
        <v>21000</v>
      </c>
      <c r="G146" s="1156">
        <f>+G115+G126+G144</f>
        <v>0</v>
      </c>
      <c r="H146" s="1156">
        <f>+H115+H126+H144</f>
        <v>1421054.51</v>
      </c>
      <c r="I146" s="1113"/>
      <c r="K146" s="1207"/>
    </row>
    <row r="147" spans="2:12" s="1067" customFormat="1" ht="15.75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.75" thickBot="1">
      <c r="B148" s="1064"/>
      <c r="C148" s="1157" t="s">
        <v>898</v>
      </c>
      <c r="D148" s="1158"/>
      <c r="E148" s="1159">
        <f>E70-E146</f>
        <v>170317.82000000007</v>
      </c>
      <c r="F148" s="1159">
        <f>F70-F146</f>
        <v>-21000</v>
      </c>
      <c r="G148" s="1159">
        <f>G70-G146</f>
        <v>0</v>
      </c>
      <c r="H148" s="1159">
        <f>H70-H146</f>
        <v>149317.82000000007</v>
      </c>
      <c r="I148" s="1066"/>
      <c r="K148" s="1207"/>
    </row>
    <row r="149" spans="2:12" s="1067" customFormat="1" ht="16.5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75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8">
      <c r="B151" s="1160"/>
      <c r="C151" s="1453" t="s">
        <v>639</v>
      </c>
      <c r="D151" s="1454"/>
      <c r="E151" s="1161">
        <f>SUM(E152:E162)</f>
        <v>169723.64</v>
      </c>
      <c r="F151" s="1162">
        <f>SUM(F152:F162)</f>
        <v>0</v>
      </c>
      <c r="G151" s="1162">
        <f>SUM(G152:G162)</f>
        <v>0</v>
      </c>
      <c r="H151" s="1162">
        <f>SUM(H152:H162)</f>
        <v>169723.64</v>
      </c>
      <c r="I151" s="1163"/>
      <c r="K151" s="1207"/>
    </row>
    <row r="152" spans="2:12" s="1099" customFormat="1" ht="18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8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8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8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8" hidden="1">
      <c r="B156" s="1064"/>
      <c r="C156" s="1086" t="s">
        <v>41</v>
      </c>
      <c r="D156" s="1087" t="s">
        <v>903</v>
      </c>
      <c r="E156" s="1088">
        <f>-'FC-3_CPyG'!G40</f>
        <v>169723.64</v>
      </c>
      <c r="F156" s="1089"/>
      <c r="G156" s="1089"/>
      <c r="H156" s="1090">
        <f t="shared" si="15"/>
        <v>169723.64</v>
      </c>
      <c r="I156" s="1066"/>
      <c r="K156" s="1207"/>
    </row>
    <row r="157" spans="2:12" s="1067" customFormat="1" ht="18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8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3" t="s">
        <v>1002</v>
      </c>
    </row>
    <row r="159" spans="2:12" s="1067" customFormat="1" ht="18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8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8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8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.75" thickBot="1">
      <c r="B164" s="1064"/>
      <c r="C164" s="1439" t="s">
        <v>913</v>
      </c>
      <c r="D164" s="1440"/>
      <c r="E164" s="1135">
        <f>+E146+E151</f>
        <v>1569778.15</v>
      </c>
      <c r="F164" s="1135">
        <f t="shared" ref="F164:H164" si="16">+F146+F151</f>
        <v>21000</v>
      </c>
      <c r="G164" s="1135">
        <f t="shared" si="16"/>
        <v>0</v>
      </c>
      <c r="H164" s="1135">
        <f t="shared" si="16"/>
        <v>1590778.15</v>
      </c>
      <c r="I164" s="1066"/>
      <c r="K164" s="1207"/>
    </row>
    <row r="165" spans="2:11" s="1067" customFormat="1" ht="18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.75" thickBot="1">
      <c r="B166" s="1064"/>
      <c r="C166" s="1157" t="s">
        <v>911</v>
      </c>
      <c r="D166" s="1158"/>
      <c r="E166" s="1159">
        <f>+E82-E164</f>
        <v>3594.1800000001676</v>
      </c>
      <c r="F166" s="1159">
        <f>+F82-F164</f>
        <v>-21000</v>
      </c>
      <c r="G166" s="1159">
        <f t="shared" ref="G166" si="17">+G82-G164</f>
        <v>0</v>
      </c>
      <c r="H166" s="1159">
        <f>+H82-H164</f>
        <v>-17405.819999999832</v>
      </c>
      <c r="I166" s="1066"/>
      <c r="K166" s="1207"/>
    </row>
    <row r="167" spans="2:11" s="1067" customFormat="1" ht="15.75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8">
      <c r="B168" s="1064"/>
      <c r="C168" s="1455" t="s">
        <v>909</v>
      </c>
      <c r="D168" s="1456"/>
      <c r="E168" s="1175">
        <f>E169+E176+E178+E184+E185+E192</f>
        <v>0</v>
      </c>
      <c r="F168" s="1175">
        <f>F169+F176+F178+F184+F185+F192+F194</f>
        <v>17405.820000000094</v>
      </c>
      <c r="G168" s="1175">
        <f>G169+G176+G178+G184+G185+G192+G194</f>
        <v>0</v>
      </c>
      <c r="H168" s="1175">
        <f>H169+H176+H178+H184+H185+H192+H194</f>
        <v>17405.820000000094</v>
      </c>
      <c r="I168" s="1066"/>
      <c r="K168" s="1207"/>
    </row>
    <row r="169" spans="2:11" s="1067" customFormat="1" ht="18" hidden="1">
      <c r="B169" s="1064"/>
      <c r="C169" s="1176" t="s">
        <v>185</v>
      </c>
      <c r="D169" s="1105"/>
      <c r="E169" s="1177"/>
      <c r="F169" s="1457">
        <f>SUM(F172:F175)</f>
        <v>169723.64</v>
      </c>
      <c r="G169" s="1457">
        <f>SUM(G172:G175)</f>
        <v>0</v>
      </c>
      <c r="H169" s="1457">
        <f>F169+G169</f>
        <v>169723.64</v>
      </c>
      <c r="I169" s="1066"/>
      <c r="K169" s="1207"/>
    </row>
    <row r="170" spans="2:11" s="1067" customFormat="1" ht="18" hidden="1">
      <c r="B170" s="1064"/>
      <c r="C170" s="1178" t="s">
        <v>195</v>
      </c>
      <c r="D170" s="1105"/>
      <c r="E170" s="1177"/>
      <c r="F170" s="1458"/>
      <c r="G170" s="1458"/>
      <c r="H170" s="1458"/>
      <c r="I170" s="1066"/>
      <c r="K170" s="1207"/>
    </row>
    <row r="171" spans="2:11" s="1067" customFormat="1" ht="18" hidden="1">
      <c r="B171" s="1064"/>
      <c r="C171" s="1178" t="s">
        <v>200</v>
      </c>
      <c r="D171" s="1105"/>
      <c r="E171" s="1177"/>
      <c r="F171" s="1459"/>
      <c r="G171" s="1459"/>
      <c r="H171" s="1459"/>
      <c r="I171" s="1066"/>
      <c r="K171" s="1207"/>
    </row>
    <row r="172" spans="2:11" s="1067" customFormat="1" ht="18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8" hidden="1">
      <c r="B173" s="1064"/>
      <c r="C173" s="1086" t="s">
        <v>50</v>
      </c>
      <c r="D173" s="1105" t="s">
        <v>925</v>
      </c>
      <c r="E173" s="1089"/>
      <c r="F173" s="1118">
        <f>-'FC-7_INF'!I31</f>
        <v>169723.64</v>
      </c>
      <c r="G173" s="1196"/>
      <c r="H173" s="1090"/>
      <c r="I173" s="1066"/>
      <c r="K173" s="1207"/>
    </row>
    <row r="174" spans="2:11" s="1067" customFormat="1" ht="18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8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8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8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8" hidden="1">
      <c r="B178" s="1064"/>
      <c r="C178" s="1178" t="s">
        <v>928</v>
      </c>
      <c r="D178" s="1105"/>
      <c r="E178" s="1089"/>
      <c r="F178" s="1179">
        <f>SUM(F179:F183)</f>
        <v>-179703.97999999992</v>
      </c>
      <c r="G178" s="1179">
        <f>SUM(G179:G183)</f>
        <v>0</v>
      </c>
      <c r="H178" s="1180">
        <f>F178+G178</f>
        <v>-179703.97999999992</v>
      </c>
      <c r="I178" s="1066"/>
      <c r="K178" s="1207"/>
    </row>
    <row r="179" spans="2:11" s="1067" customFormat="1" ht="18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8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8" hidden="1">
      <c r="B181" s="1064"/>
      <c r="C181" s="1086" t="s">
        <v>938</v>
      </c>
      <c r="D181" s="1105" t="s">
        <v>934</v>
      </c>
      <c r="E181" s="1089"/>
      <c r="F181" s="1118">
        <f>'FC-4_ACTIVO'!F65-'FC-4_ACTIVO'!G65</f>
        <v>-13037.499999999993</v>
      </c>
      <c r="G181" s="1196"/>
      <c r="H181" s="1090"/>
      <c r="I181" s="1066"/>
      <c r="K181" s="1207"/>
    </row>
    <row r="182" spans="2:11" s="1067" customFormat="1" ht="18" hidden="1">
      <c r="B182" s="1064"/>
      <c r="C182" s="1086" t="s">
        <v>938</v>
      </c>
      <c r="D182" s="1105" t="s">
        <v>935</v>
      </c>
      <c r="E182" s="1089"/>
      <c r="F182" s="1118">
        <f>'FC-4_ACTIVO'!F89-'FC-4_ACTIVO'!G89</f>
        <v>0</v>
      </c>
      <c r="G182" s="1196"/>
      <c r="H182" s="1090"/>
      <c r="I182" s="1066"/>
      <c r="K182" s="1207"/>
    </row>
    <row r="183" spans="2:11" s="1067" customFormat="1" ht="18" hidden="1">
      <c r="B183" s="1064"/>
      <c r="C183" s="1086" t="s">
        <v>938</v>
      </c>
      <c r="D183" s="1105" t="s">
        <v>936</v>
      </c>
      <c r="E183" s="1089"/>
      <c r="F183" s="1118">
        <f>'FC-4_ACTIVO'!F90-'FC-4_ACTIVO'!G90</f>
        <v>-166666.47999999992</v>
      </c>
      <c r="G183" s="1196"/>
      <c r="H183" s="1090"/>
      <c r="I183" s="1066"/>
      <c r="K183" s="1207"/>
    </row>
    <row r="184" spans="2:11" s="1067" customFormat="1" ht="18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8" hidden="1">
      <c r="B185" s="1064"/>
      <c r="C185" s="1178" t="s">
        <v>930</v>
      </c>
      <c r="D185" s="1105"/>
      <c r="E185" s="1089"/>
      <c r="F185" s="1179">
        <f>SUM(F186:F191)</f>
        <v>29636.160000000003</v>
      </c>
      <c r="G185" s="1179">
        <f>SUM(G187:G189)</f>
        <v>0</v>
      </c>
      <c r="H185" s="1180">
        <f>F185+G185</f>
        <v>29636.160000000003</v>
      </c>
      <c r="I185" s="1066"/>
      <c r="K185" s="1207"/>
    </row>
    <row r="186" spans="2:11" s="1067" customFormat="1" ht="18" hidden="1">
      <c r="B186" s="1064"/>
      <c r="C186" s="1086" t="s">
        <v>939</v>
      </c>
      <c r="D186" s="1105" t="s">
        <v>996</v>
      </c>
      <c r="E186" s="1089"/>
      <c r="F186" s="1118">
        <f>'FC-4_PASIVO'!G44-'FC-4_PASIVO'!F44</f>
        <v>0</v>
      </c>
      <c r="G186" s="1179"/>
      <c r="H186" s="1180"/>
      <c r="I186" s="1066"/>
      <c r="K186" s="1207"/>
    </row>
    <row r="187" spans="2:11" s="1067" customFormat="1" ht="18" hidden="1">
      <c r="B187" s="1064"/>
      <c r="C187" s="1086" t="s">
        <v>939</v>
      </c>
      <c r="D187" s="1105" t="s">
        <v>937</v>
      </c>
      <c r="E187" s="1089"/>
      <c r="F187" s="1264">
        <f>'FC-9_TRANS_SUBV'!K33</f>
        <v>-750</v>
      </c>
      <c r="G187" s="1196"/>
      <c r="H187" s="1090"/>
      <c r="I187" s="1066"/>
      <c r="K187" s="1263" t="s">
        <v>1001</v>
      </c>
    </row>
    <row r="188" spans="2:11" s="1067" customFormat="1" ht="18" hidden="1">
      <c r="B188" s="1064"/>
      <c r="C188" s="1086" t="s">
        <v>939</v>
      </c>
      <c r="D188" s="1105" t="s">
        <v>940</v>
      </c>
      <c r="E188" s="1089"/>
      <c r="F188" s="1118">
        <f>'FC-4_PASIVO'!G57-'FC-4_PASIVO'!F57</f>
        <v>0</v>
      </c>
      <c r="G188" s="1196"/>
      <c r="H188" s="1090"/>
      <c r="I188" s="1066"/>
      <c r="K188" s="1207"/>
    </row>
    <row r="189" spans="2:11" s="1067" customFormat="1" ht="18" hidden="1">
      <c r="B189" s="1064"/>
      <c r="C189" s="1086" t="s">
        <v>939</v>
      </c>
      <c r="D189" s="1105" t="s">
        <v>941</v>
      </c>
      <c r="E189" s="1089"/>
      <c r="F189" s="1118">
        <f>'FC-4_PASIVO'!G73-'FC-4_PASIVO'!F73</f>
        <v>30386.160000000003</v>
      </c>
      <c r="G189" s="1196"/>
      <c r="H189" s="1090"/>
      <c r="I189" s="1066"/>
      <c r="K189" s="1207"/>
    </row>
    <row r="190" spans="2:11" s="1067" customFormat="1" ht="18" hidden="1">
      <c r="B190" s="1064"/>
      <c r="C190" s="1086" t="s">
        <v>939</v>
      </c>
      <c r="D190" s="1105" t="s">
        <v>997</v>
      </c>
      <c r="E190" s="1089"/>
      <c r="F190" s="1118">
        <f>'FC-4_PASIVO'!G63-'FC-4_PASIVO'!F63</f>
        <v>0</v>
      </c>
      <c r="G190" s="1196"/>
      <c r="H190" s="1090"/>
      <c r="I190" s="1066"/>
      <c r="K190" s="1207"/>
    </row>
    <row r="191" spans="2:11" s="1067" customFormat="1" ht="18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8" hidden="1">
      <c r="B192" s="1064"/>
      <c r="C192" s="1178" t="s">
        <v>931</v>
      </c>
      <c r="D192" s="1105"/>
      <c r="E192" s="1089"/>
      <c r="F192" s="1179">
        <f>F193</f>
        <v>-2250</v>
      </c>
      <c r="G192" s="1179">
        <f>G193</f>
        <v>0</v>
      </c>
      <c r="H192" s="1180">
        <f>F192+G192</f>
        <v>-2250</v>
      </c>
      <c r="I192" s="1066"/>
      <c r="K192" s="1207"/>
    </row>
    <row r="193" spans="2:11" s="1067" customFormat="1" ht="18" hidden="1">
      <c r="B193" s="1064"/>
      <c r="C193" s="1086" t="s">
        <v>939</v>
      </c>
      <c r="D193" s="1105" t="s">
        <v>910</v>
      </c>
      <c r="E193" s="1089"/>
      <c r="F193" s="1118">
        <f>'FC-9_TRANS_SUBV'!J33</f>
        <v>-2250</v>
      </c>
      <c r="G193" s="1118">
        <v>0</v>
      </c>
      <c r="H193" s="1090"/>
      <c r="I193" s="1066"/>
      <c r="K193" s="1207"/>
    </row>
    <row r="194" spans="2:11" s="1067" customFormat="1" ht="18" hidden="1">
      <c r="B194" s="1064"/>
      <c r="C194" s="1178" t="s">
        <v>971</v>
      </c>
      <c r="D194" s="1105"/>
      <c r="E194" s="1089"/>
      <c r="F194" s="1179">
        <f>SUM(F195:F199)</f>
        <v>0</v>
      </c>
      <c r="G194" s="1179">
        <f>SUM(G195:G199)</f>
        <v>0</v>
      </c>
      <c r="H194" s="1179">
        <f>SUM(F194:G194)</f>
        <v>0</v>
      </c>
      <c r="I194" s="1066"/>
      <c r="K194" s="1207"/>
    </row>
    <row r="195" spans="2:11" s="1067" customFormat="1" ht="18" hidden="1">
      <c r="B195" s="1064"/>
      <c r="C195" s="1202"/>
      <c r="D195" s="1203"/>
      <c r="E195" s="1089"/>
      <c r="F195" s="1196"/>
      <c r="G195" s="1196"/>
      <c r="H195" s="1090"/>
      <c r="I195" s="1066"/>
      <c r="K195" s="1207"/>
    </row>
    <row r="196" spans="2:11" s="1067" customFormat="1" ht="18" hidden="1">
      <c r="B196" s="1064"/>
      <c r="C196" s="1202"/>
      <c r="D196" s="1203"/>
      <c r="E196" s="1089"/>
      <c r="F196" s="1196"/>
      <c r="G196" s="1196"/>
      <c r="H196" s="1090"/>
      <c r="I196" s="1066"/>
      <c r="K196" s="1207"/>
    </row>
    <row r="197" spans="2:11" s="1067" customFormat="1" ht="18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8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.75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5.75" thickBot="1">
      <c r="B201" s="1184"/>
      <c r="C201" s="1438"/>
      <c r="D201" s="1438"/>
      <c r="E201" s="1185"/>
      <c r="F201" s="1185"/>
      <c r="G201" s="1185"/>
      <c r="H201" s="1186"/>
      <c r="I201" s="1187"/>
      <c r="K201" s="1067"/>
    </row>
    <row r="202" spans="2:11" ht="12.75">
      <c r="C202" s="629"/>
      <c r="D202" s="629"/>
      <c r="E202" s="1061"/>
      <c r="F202" s="1061"/>
      <c r="G202" s="1061"/>
      <c r="H202" s="629"/>
    </row>
    <row r="203" spans="2:11" ht="12.75">
      <c r="C203" s="1188" t="s">
        <v>72</v>
      </c>
      <c r="D203" s="629"/>
      <c r="E203" s="1061"/>
      <c r="F203" s="1061"/>
      <c r="G203" s="1061"/>
      <c r="H203" s="1051" t="s">
        <v>970</v>
      </c>
    </row>
    <row r="204" spans="2:11" ht="12.75">
      <c r="C204" s="1189" t="s">
        <v>73</v>
      </c>
      <c r="D204" s="629"/>
      <c r="E204" s="1061"/>
      <c r="F204" s="1061"/>
      <c r="G204" s="1061"/>
      <c r="H204" s="629"/>
    </row>
    <row r="205" spans="2:11" ht="12.75">
      <c r="C205" s="1189" t="s">
        <v>74</v>
      </c>
      <c r="D205" s="629"/>
      <c r="E205" s="1061"/>
      <c r="F205" s="1061"/>
      <c r="G205" s="1061"/>
      <c r="H205" s="629"/>
    </row>
    <row r="206" spans="2:11" ht="12.75">
      <c r="C206" s="1189" t="s">
        <v>75</v>
      </c>
      <c r="D206" s="629"/>
      <c r="E206" s="1061"/>
      <c r="F206" s="1061"/>
      <c r="G206" s="1061"/>
      <c r="H206" s="629"/>
    </row>
    <row r="207" spans="2:11" ht="12.75">
      <c r="C207" s="1189" t="s">
        <v>76</v>
      </c>
      <c r="D207" s="629"/>
      <c r="E207" s="1061"/>
      <c r="F207" s="1061"/>
      <c r="G207" s="1061"/>
      <c r="H207" s="629"/>
    </row>
    <row r="208" spans="2:11" ht="12.75">
      <c r="C208" s="629"/>
      <c r="D208" s="629"/>
      <c r="E208" s="1061"/>
      <c r="F208" s="1061"/>
      <c r="G208" s="1061"/>
      <c r="H208" s="629"/>
    </row>
    <row r="209" spans="3:8" ht="12.75">
      <c r="C209" s="629"/>
      <c r="D209" s="629"/>
      <c r="E209" s="1061"/>
      <c r="F209" s="1061"/>
      <c r="G209" s="1061"/>
      <c r="H209" s="629"/>
    </row>
    <row r="210" spans="3:8" ht="12.75">
      <c r="C210" s="629"/>
      <c r="D210" s="629"/>
      <c r="E210" s="1061"/>
      <c r="F210" s="1061"/>
      <c r="G210" s="1061"/>
      <c r="H210" s="629"/>
    </row>
    <row r="211" spans="3:8" s="1099" customFormat="1" ht="20.25">
      <c r="C211" s="1190" t="s">
        <v>944</v>
      </c>
      <c r="D211" s="629"/>
      <c r="E211" s="1061"/>
      <c r="F211" s="1191"/>
      <c r="G211" s="1191"/>
      <c r="H211" s="1060"/>
    </row>
    <row r="212" spans="3:8" ht="12.75">
      <c r="C212" s="629"/>
      <c r="D212" s="629"/>
      <c r="E212" s="1061"/>
      <c r="H212" s="629"/>
    </row>
    <row r="213" spans="3:8" ht="12.75">
      <c r="C213" s="629"/>
      <c r="D213" s="629"/>
      <c r="E213" s="1061"/>
    </row>
    <row r="214" spans="3:8" ht="18.75" thickBot="1">
      <c r="C214" s="1157" t="s">
        <v>911</v>
      </c>
      <c r="D214" s="1158"/>
      <c r="E214" s="1159"/>
    </row>
    <row r="215" spans="3:8" ht="23.1" customHeight="1" thickTop="1">
      <c r="C215" s="629"/>
      <c r="D215" s="629" t="s">
        <v>945</v>
      </c>
      <c r="E215" s="1061">
        <f>+E166</f>
        <v>3594.1800000001676</v>
      </c>
    </row>
    <row r="216" spans="3:8" ht="23.1" customHeight="1">
      <c r="D216" s="621" t="s">
        <v>946</v>
      </c>
      <c r="E216" s="1053">
        <f>+'FC-3_CPyG'!G84</f>
        <v>3594.1800000001094</v>
      </c>
    </row>
    <row r="217" spans="3:8" ht="23.1" customHeight="1">
      <c r="E217" s="1192" t="str">
        <f>IF(ROUND(E215-E216,2)=0,"OK","Mal, revísalo")</f>
        <v>OK</v>
      </c>
    </row>
    <row r="219" spans="3:8" ht="23.1" customHeight="1">
      <c r="D219" s="621" t="s">
        <v>947</v>
      </c>
      <c r="E219" s="1053">
        <f>+H166</f>
        <v>-17405.819999999832</v>
      </c>
    </row>
    <row r="220" spans="3:8" ht="23.1" customHeight="1">
      <c r="D220" s="621" t="s">
        <v>948</v>
      </c>
      <c r="E220" s="1053">
        <f>+H168</f>
        <v>17405.820000000094</v>
      </c>
    </row>
    <row r="221" spans="3:8" ht="23.1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zoomScale="90" zoomScaleNormal="90" zoomScalePageLayoutView="90" workbookViewId="0">
      <selection activeCell="E34" sqref="E34"/>
    </sheetView>
  </sheetViews>
  <sheetFormatPr baseColWidth="10" defaultColWidth="10.6640625" defaultRowHeight="23.1" customHeight="1"/>
  <cols>
    <col min="1" max="1" width="4.6640625" style="2" bestFit="1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2" t="str">
        <f>Entidad</f>
        <v>CULTESA</v>
      </c>
      <c r="E9" s="1282"/>
      <c r="F9" s="1282"/>
      <c r="G9" s="1282"/>
      <c r="H9" s="128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8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4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4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>
        <v>4</v>
      </c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1049</v>
      </c>
      <c r="E23" s="549"/>
      <c r="F23" s="549"/>
      <c r="G23" s="549"/>
      <c r="H23" s="442">
        <v>42318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 t="s">
        <v>1050</v>
      </c>
      <c r="E24" s="550"/>
      <c r="F24" s="550"/>
      <c r="G24" s="550"/>
      <c r="H24" s="443">
        <v>42318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1051</v>
      </c>
      <c r="E25" s="550"/>
      <c r="F25" s="550"/>
      <c r="G25" s="550"/>
      <c r="H25" s="443">
        <v>37217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1052</v>
      </c>
      <c r="E27" s="550"/>
      <c r="F27" s="550"/>
      <c r="G27" s="550"/>
      <c r="H27" s="443">
        <v>42318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1053</v>
      </c>
      <c r="E28" s="550"/>
      <c r="F28" s="550"/>
      <c r="G28" s="550"/>
      <c r="H28" s="443">
        <v>42318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1054</v>
      </c>
      <c r="E29" s="550"/>
      <c r="F29" s="550"/>
      <c r="G29" s="550"/>
      <c r="H29" s="443">
        <v>42318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1069</v>
      </c>
      <c r="E30" s="550"/>
      <c r="F30" s="550"/>
      <c r="G30" s="443"/>
      <c r="H30" s="443">
        <v>42502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1055</v>
      </c>
      <c r="E31" s="550"/>
      <c r="F31" s="550"/>
      <c r="G31" s="550"/>
      <c r="H31" s="443">
        <v>42318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1056</v>
      </c>
      <c r="E32" s="550"/>
      <c r="F32" s="550"/>
      <c r="G32" s="550"/>
      <c r="H32" s="443">
        <v>42318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/>
      <c r="E33" s="550"/>
      <c r="F33" s="550"/>
      <c r="G33" s="550"/>
      <c r="H33" s="443"/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1057</v>
      </c>
      <c r="E40" s="551"/>
      <c r="F40" s="551"/>
      <c r="G40" s="551"/>
      <c r="H40" s="444">
        <v>37581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1058</v>
      </c>
      <c r="E41" s="550"/>
      <c r="F41" s="550"/>
      <c r="G41" s="550"/>
      <c r="H41" s="444">
        <v>42822</v>
      </c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zoomScale="77" zoomScaleNormal="77" zoomScalePageLayoutView="77" workbookViewId="0">
      <selection activeCell="I17" sqref="I17"/>
    </sheetView>
  </sheetViews>
  <sheetFormatPr baseColWidth="10" defaultColWidth="10.6640625" defaultRowHeight="23.1" customHeight="1"/>
  <cols>
    <col min="1" max="1" width="4.33203125" style="731" bestFit="1" customWidth="1"/>
    <col min="2" max="2" width="3.33203125" style="731" customWidth="1"/>
    <col min="3" max="3" width="13.5546875" style="731" customWidth="1"/>
    <col min="4" max="4" width="16.33203125" style="731" customWidth="1"/>
    <col min="5" max="5" width="14" style="731" customWidth="1"/>
    <col min="6" max="7" width="16.33203125" style="731" customWidth="1"/>
    <col min="8" max="8" width="10.33203125" style="731" customWidth="1"/>
    <col min="9" max="9" width="13" style="731" customWidth="1"/>
    <col min="10" max="10" width="10.6640625" style="731"/>
    <col min="11" max="11" width="2" style="731" customWidth="1"/>
    <col min="12" max="12" width="12.6640625" style="731" customWidth="1"/>
    <col min="13" max="15" width="10.6640625" style="731"/>
    <col min="16" max="16" width="30.441406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733" t="s">
        <v>31</v>
      </c>
    </row>
    <row r="3" spans="1:32" ht="23.1" customHeight="1">
      <c r="D3" s="733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CULTESA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732"/>
      <c r="D15" s="732"/>
      <c r="E15" s="732"/>
      <c r="F15" s="1288" t="s">
        <v>732</v>
      </c>
      <c r="G15" s="1288"/>
      <c r="H15" s="1288"/>
      <c r="I15" s="752">
        <f>ejercicio-2</f>
        <v>2017</v>
      </c>
      <c r="J15" s="753"/>
      <c r="K15" s="732"/>
      <c r="L15" s="1288" t="s">
        <v>731</v>
      </c>
      <c r="M15" s="1288"/>
      <c r="N15" s="1288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7"/>
      <c r="C17" s="445" t="s">
        <v>1043</v>
      </c>
      <c r="D17" s="445"/>
      <c r="E17" s="774" t="s">
        <v>1060</v>
      </c>
      <c r="F17" s="446">
        <v>2E-3</v>
      </c>
      <c r="G17" s="772">
        <v>1</v>
      </c>
      <c r="H17" s="772" t="s">
        <v>1061</v>
      </c>
      <c r="I17" s="448">
        <v>601.01210000000003</v>
      </c>
      <c r="J17" s="448">
        <v>3542.15</v>
      </c>
      <c r="K17" s="448"/>
      <c r="L17" s="448"/>
      <c r="M17" s="448"/>
      <c r="N17" s="448"/>
      <c r="O17" s="448"/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7"/>
      <c r="C18" s="449" t="s">
        <v>1062</v>
      </c>
      <c r="D18" s="449"/>
      <c r="E18" s="775" t="s">
        <v>1063</v>
      </c>
      <c r="F18" s="450">
        <v>0.50800000000000001</v>
      </c>
      <c r="G18" s="773">
        <v>254</v>
      </c>
      <c r="H18" s="773" t="s">
        <v>1061</v>
      </c>
      <c r="I18" s="452">
        <v>601.01210000000003</v>
      </c>
      <c r="J18" s="452">
        <v>3542.15</v>
      </c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7"/>
      <c r="C19" s="449" t="s">
        <v>1064</v>
      </c>
      <c r="D19" s="449"/>
      <c r="E19" s="775" t="s">
        <v>1065</v>
      </c>
      <c r="F19" s="450">
        <v>0.4</v>
      </c>
      <c r="G19" s="773">
        <v>200</v>
      </c>
      <c r="H19" s="773" t="s">
        <v>1066</v>
      </c>
      <c r="I19" s="452">
        <v>601.01210000000003</v>
      </c>
      <c r="J19" s="452">
        <v>3542.15</v>
      </c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7"/>
      <c r="C20" s="449" t="s">
        <v>1067</v>
      </c>
      <c r="D20" s="449"/>
      <c r="E20" s="775" t="s">
        <v>1068</v>
      </c>
      <c r="F20" s="450">
        <v>0.09</v>
      </c>
      <c r="G20" s="773">
        <v>45</v>
      </c>
      <c r="H20" s="773" t="s">
        <v>1066</v>
      </c>
      <c r="I20" s="452">
        <v>601.01210000000003</v>
      </c>
      <c r="J20" s="452">
        <v>3542.15</v>
      </c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7"/>
      <c r="C31" s="732"/>
      <c r="D31" s="732"/>
      <c r="E31" s="732"/>
      <c r="F31" s="1288" t="s">
        <v>732</v>
      </c>
      <c r="G31" s="1288"/>
      <c r="H31" s="1288"/>
      <c r="I31" s="752">
        <f>ejercicio-2</f>
        <v>2017</v>
      </c>
      <c r="J31" s="753"/>
      <c r="K31" s="732"/>
      <c r="L31" s="1289" t="s">
        <v>731</v>
      </c>
      <c r="M31" s="1289"/>
      <c r="N31" s="1289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7"/>
      <c r="C33" s="445"/>
      <c r="D33" s="445"/>
      <c r="E33" s="774"/>
      <c r="F33" s="552"/>
      <c r="G33" s="772"/>
      <c r="H33" s="447"/>
      <c r="I33" s="448"/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7"/>
      <c r="C34" s="449"/>
      <c r="D34" s="449"/>
      <c r="E34" s="775"/>
      <c r="F34" s="553"/>
      <c r="G34" s="773"/>
      <c r="H34" s="451"/>
      <c r="I34" s="452"/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7"/>
      <c r="C35" s="449"/>
      <c r="D35" s="449"/>
      <c r="E35" s="775"/>
      <c r="F35" s="553"/>
      <c r="G35" s="773"/>
      <c r="H35" s="451"/>
      <c r="I35" s="452"/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7"/>
      <c r="C47" s="1286" t="s">
        <v>30</v>
      </c>
      <c r="D47" s="1286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7"/>
      <c r="C48" s="1287" t="s">
        <v>1059</v>
      </c>
      <c r="D48" s="1287"/>
      <c r="E48" s="1287"/>
      <c r="F48" s="1287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7"/>
      <c r="C55" s="1284"/>
      <c r="D55" s="1284"/>
      <c r="E55" s="1284"/>
      <c r="F55" s="1284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2.75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2.75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.1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.1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.1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.1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49" zoomScale="69" zoomScaleNormal="69" zoomScalePageLayoutView="69" workbookViewId="0">
      <selection activeCell="F48" sqref="F48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CULTESA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1502198.37</v>
      </c>
      <c r="F16" s="134">
        <f>SUM(F17:F19)</f>
        <v>1528860.37</v>
      </c>
      <c r="G16" s="134">
        <f>SUM(G17:G19)</f>
        <v>1475787.5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1502198.37</v>
      </c>
      <c r="F18" s="454">
        <v>1528860.37</v>
      </c>
      <c r="G18" s="454">
        <v>1475787.5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>
        <v>43058.2</v>
      </c>
      <c r="F20" s="455">
        <v>20115.25</v>
      </c>
      <c r="G20" s="455">
        <v>0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-380494.76</v>
      </c>
      <c r="F22" s="134">
        <f t="shared" ref="F22:G22" si="0">SUM(F23:F26)</f>
        <v>-393147.08</v>
      </c>
      <c r="G22" s="134">
        <f t="shared" si="0"/>
        <v>-431636.02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3">
        <v>-90900.12</v>
      </c>
      <c r="F24" s="453">
        <v>-97592.63</v>
      </c>
      <c r="G24" s="453">
        <v>-84420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>
        <v>-289594.64</v>
      </c>
      <c r="F25" s="454">
        <v>-295554.45</v>
      </c>
      <c r="G25" s="454">
        <v>-347216.02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46636.039999999994</v>
      </c>
      <c r="F27" s="134">
        <f t="shared" ref="F27:G27" si="1">SUM(F28:F29)</f>
        <v>73674.100000000006</v>
      </c>
      <c r="G27" s="134">
        <f t="shared" si="1"/>
        <v>94584.83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5046.7299999999996</v>
      </c>
      <c r="F28" s="453">
        <v>8583.2000000000007</v>
      </c>
      <c r="G28" s="453"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>
        <v>41589.31</v>
      </c>
      <c r="F29" s="454">
        <v>65090.9</v>
      </c>
      <c r="G29" s="454">
        <v>94584.83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-670886.40999999992</v>
      </c>
      <c r="F30" s="134">
        <f t="shared" ref="F30:G30" si="2">SUM(F31:F33)</f>
        <v>-681211.22</v>
      </c>
      <c r="G30" s="134">
        <f t="shared" si="2"/>
        <v>-679772.41999999993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-552684.96</v>
      </c>
      <c r="F31" s="453">
        <v>-505479.17</v>
      </c>
      <c r="G31" s="453">
        <v>-564325.59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-118201.45</v>
      </c>
      <c r="F32" s="454">
        <v>-175732.05</v>
      </c>
      <c r="G32" s="454">
        <v>-115446.83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-333998.69</v>
      </c>
      <c r="F34" s="134">
        <f t="shared" ref="F34:G34" si="3">SUM(F35:F39)</f>
        <v>-355803.10000000003</v>
      </c>
      <c r="G34" s="134">
        <f t="shared" si="3"/>
        <v>-288646.07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-332798.01</v>
      </c>
      <c r="F35" s="453">
        <v>-354776.84</v>
      </c>
      <c r="G35" s="453">
        <v>-287376.07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-1200.68</v>
      </c>
      <c r="F36" s="454">
        <v>-1026.26</v>
      </c>
      <c r="G36" s="454">
        <v>-1270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-181154.29</v>
      </c>
      <c r="F40" s="455">
        <v>-198755.06</v>
      </c>
      <c r="G40" s="455">
        <v>-169723.64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1200</v>
      </c>
      <c r="F41" s="455">
        <v>2767.12</v>
      </c>
      <c r="G41" s="455">
        <v>3000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-6196.85</v>
      </c>
      <c r="F43" s="134">
        <f t="shared" ref="F43:G43" si="4">SUM(F44:F46)</f>
        <v>-37.89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>
        <v>-6196.85</v>
      </c>
      <c r="F45" s="454">
        <v>-37.89</v>
      </c>
      <c r="G45" s="454">
        <v>0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307.20999999999998</v>
      </c>
      <c r="F48" s="455">
        <v>6810.02</v>
      </c>
      <c r="G48" s="45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20668.820000000167</v>
      </c>
      <c r="F49" s="360">
        <f t="shared" ref="F49:G49" si="5">F16+F20+F21+F22+F27+F30+F34+F40+F41+F42+F43+F47+F48</f>
        <v>3272.5100000001262</v>
      </c>
      <c r="G49" s="360">
        <f t="shared" si="5"/>
        <v>3594.1800000001094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 t="shared" ref="F51:G51" si="6">F52+F55+F58</f>
        <v>0.11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 t="shared" ref="F55:G55" si="8">SUM(F56:F57)</f>
        <v>0.11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0"/>
      <c r="F57" s="720">
        <v>0.11</v>
      </c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0</v>
      </c>
      <c r="F74" s="360">
        <f>F51+F59+F63+F66+F67+F70</f>
        <v>0.11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20668.820000000167</v>
      </c>
      <c r="F76" s="363">
        <f t="shared" ref="F76:G76" si="13">F74+F49</f>
        <v>3272.6200000001263</v>
      </c>
      <c r="G76" s="363">
        <f t="shared" si="13"/>
        <v>3594.1800000001094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20668.820000000167</v>
      </c>
      <c r="F79" s="363">
        <f>F76+F77</f>
        <v>3272.6200000001263</v>
      </c>
      <c r="G79" s="363">
        <f>G76+G77</f>
        <v>3594.1800000001094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20668.820000000167</v>
      </c>
      <c r="F84" s="138">
        <f t="shared" ref="F84:G84" si="14">F79+F82</f>
        <v>3272.6200000001263</v>
      </c>
      <c r="G84" s="138">
        <f t="shared" si="14"/>
        <v>3594.1800000001094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0"/>
      <c r="D86" s="1290"/>
      <c r="E86" s="1290"/>
      <c r="F86" s="129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62" zoomScale="51" zoomScaleNormal="51" zoomScalePageLayoutView="80" workbookViewId="0">
      <selection activeCell="G99" sqref="G99"/>
    </sheetView>
  </sheetViews>
  <sheetFormatPr baseColWidth="10" defaultColWidth="10.6640625" defaultRowHeight="23.1" customHeight="1"/>
  <cols>
    <col min="1" max="1" width="4.33203125" style="619" bestFit="1" customWidth="1"/>
    <col min="2" max="2" width="3.33203125" style="619" customWidth="1"/>
    <col min="3" max="3" width="13.5546875" style="619" customWidth="1"/>
    <col min="4" max="4" width="42.44140625" style="619" customWidth="1"/>
    <col min="5" max="6" width="15.6640625" style="621" customWidth="1"/>
    <col min="7" max="7" width="31" style="621" customWidth="1"/>
    <col min="8" max="8" width="15.5546875" style="621" customWidth="1"/>
    <col min="9" max="9" width="16.6640625" style="621" customWidth="1"/>
    <col min="10" max="10" width="30.5546875" style="621" customWidth="1"/>
    <col min="11" max="12" width="15.6640625" style="621" customWidth="1"/>
    <col min="13" max="13" width="27.33203125" style="621" customWidth="1"/>
    <col min="14" max="14" width="3.33203125" style="619" customWidth="1"/>
    <col min="15" max="16384" width="10.66406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5" t="str">
        <f>Entidad</f>
        <v>CULTESA</v>
      </c>
      <c r="E9" s="1285"/>
      <c r="F9" s="1285"/>
      <c r="G9" s="1285"/>
      <c r="H9" s="1285"/>
      <c r="I9" s="1285"/>
      <c r="J9" s="1285"/>
      <c r="K9" s="1285"/>
      <c r="L9" s="1285"/>
      <c r="M9" s="128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988.52</v>
      </c>
      <c r="F16" s="658">
        <f>SUM(F17:F18)</f>
        <v>29.66</v>
      </c>
      <c r="G16" s="659"/>
      <c r="H16" s="658">
        <f>SUM(H17:H18)</f>
        <v>923.28</v>
      </c>
      <c r="I16" s="658">
        <f>SUM(I17:I18)</f>
        <v>18.7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3"/>
      <c r="D17" s="804" t="s">
        <v>644</v>
      </c>
      <c r="E17" s="484">
        <v>988.52</v>
      </c>
      <c r="F17" s="484">
        <v>29.66</v>
      </c>
      <c r="G17" s="805"/>
      <c r="H17" s="484">
        <v>923.28</v>
      </c>
      <c r="I17" s="484">
        <v>18.7</v>
      </c>
      <c r="J17" s="805"/>
      <c r="K17" s="977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1501209.85</v>
      </c>
      <c r="F30" s="658">
        <f>+F31+F40</f>
        <v>37495.32</v>
      </c>
      <c r="G30" s="659"/>
      <c r="H30" s="658">
        <f>+H31+H40</f>
        <v>1527937.09</v>
      </c>
      <c r="I30" s="658">
        <f>+I31+I40</f>
        <v>38614.160000000003</v>
      </c>
      <c r="J30" s="659"/>
      <c r="K30" s="658">
        <f>+K31+K40</f>
        <v>1475787.5</v>
      </c>
      <c r="L30" s="658">
        <f>+L31+L40</f>
        <v>39406.129999999997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350000000000001" customHeight="1">
      <c r="B31" s="668"/>
      <c r="C31" s="669" t="s">
        <v>648</v>
      </c>
      <c r="D31" s="670"/>
      <c r="E31" s="671">
        <f>E32+E36</f>
        <v>3802.48</v>
      </c>
      <c r="F31" s="671">
        <f>F32+F36</f>
        <v>69.069999999999993</v>
      </c>
      <c r="G31" s="672"/>
      <c r="H31" s="671">
        <f>H32+H36</f>
        <v>1429.84</v>
      </c>
      <c r="I31" s="671">
        <f>I32+I36</f>
        <v>22.05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350000000000001" customHeight="1">
      <c r="B32" s="655"/>
      <c r="C32" s="803"/>
      <c r="D32" s="804" t="s">
        <v>778</v>
      </c>
      <c r="E32" s="811">
        <f>SUM(E33:E35)</f>
        <v>3802.48</v>
      </c>
      <c r="F32" s="811">
        <f>SUM(F33:F35)</f>
        <v>69.069999999999993</v>
      </c>
      <c r="G32" s="812"/>
      <c r="H32" s="811">
        <f>SUM(H33:H35)</f>
        <v>1429.84</v>
      </c>
      <c r="I32" s="811">
        <f>SUM(I33:I35)</f>
        <v>22.05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350000000000001" customHeight="1">
      <c r="B33" s="633"/>
      <c r="C33" s="563"/>
      <c r="D33" s="1273" t="s">
        <v>1022</v>
      </c>
      <c r="E33" s="514">
        <v>1244.44</v>
      </c>
      <c r="F33" s="514">
        <v>37.33</v>
      </c>
      <c r="G33" s="554"/>
      <c r="H33" s="514">
        <v>96.78</v>
      </c>
      <c r="I33" s="514">
        <v>0</v>
      </c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350000000000001" customHeight="1">
      <c r="B34" s="633"/>
      <c r="C34" s="563"/>
      <c r="D34" s="1273" t="s">
        <v>1023</v>
      </c>
      <c r="E34" s="514">
        <v>1500</v>
      </c>
      <c r="F34" s="514">
        <v>0</v>
      </c>
      <c r="G34" s="554"/>
      <c r="H34" s="514">
        <v>1333.06</v>
      </c>
      <c r="I34" s="514">
        <v>22.05</v>
      </c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350000000000001" customHeight="1">
      <c r="B35" s="633"/>
      <c r="C35" s="563"/>
      <c r="D35" s="1273" t="s">
        <v>1024</v>
      </c>
      <c r="E35" s="514">
        <v>1058.04</v>
      </c>
      <c r="F35" s="514">
        <v>31.74</v>
      </c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350000000000001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9.350000000000001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350000000000001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350000000000001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350000000000001" customHeight="1">
      <c r="B40" s="668"/>
      <c r="C40" s="669" t="s">
        <v>649</v>
      </c>
      <c r="D40" s="670"/>
      <c r="E40" s="671">
        <f>+E41+E42</f>
        <v>1497407.37</v>
      </c>
      <c r="F40" s="671">
        <f>+F41+F42</f>
        <v>37426.25</v>
      </c>
      <c r="G40" s="672"/>
      <c r="H40" s="671">
        <f>+H41+H42</f>
        <v>1526507.25</v>
      </c>
      <c r="I40" s="671">
        <f>+I41+I42</f>
        <v>38592.11</v>
      </c>
      <c r="J40" s="672"/>
      <c r="K40" s="671">
        <f>+K41+K42</f>
        <v>1475787.5</v>
      </c>
      <c r="L40" s="671">
        <f>+L41+L42</f>
        <v>39406.129999999997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350000000000001" customHeight="1">
      <c r="B41" s="655"/>
      <c r="C41" s="803"/>
      <c r="D41" s="804" t="s">
        <v>650</v>
      </c>
      <c r="E41" s="484">
        <v>1497407.37</v>
      </c>
      <c r="F41" s="484">
        <v>37426.25</v>
      </c>
      <c r="G41" s="805"/>
      <c r="H41" s="484">
        <v>1526507.25</v>
      </c>
      <c r="I41" s="484">
        <v>38592.11</v>
      </c>
      <c r="J41" s="805"/>
      <c r="K41" s="484">
        <v>1475787.5</v>
      </c>
      <c r="L41" s="484">
        <v>39406.129999999997</v>
      </c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9.350000000000001" customHeight="1">
      <c r="B42" s="655"/>
      <c r="C42" s="822"/>
      <c r="D42" s="823" t="s">
        <v>651</v>
      </c>
      <c r="E42" s="824"/>
      <c r="F42" s="824"/>
      <c r="G42" s="825"/>
      <c r="H42" s="824"/>
      <c r="I42" s="824"/>
      <c r="J42" s="825"/>
      <c r="K42" s="824"/>
      <c r="L42" s="824"/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1502198.37</v>
      </c>
      <c r="F43" s="678">
        <f>F16+F19+F30</f>
        <v>37524.980000000003</v>
      </c>
      <c r="G43" s="679"/>
      <c r="H43" s="678">
        <f>H16+H19+H30</f>
        <v>1528860.37</v>
      </c>
      <c r="I43" s="678">
        <f>I16+I19+I30</f>
        <v>38632.86</v>
      </c>
      <c r="J43" s="679"/>
      <c r="K43" s="678">
        <f>K16+K19+K30</f>
        <v>1475787.5</v>
      </c>
      <c r="L43" s="678">
        <f>L16+L19+L30</f>
        <v>39406.129999999997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2" t="s">
        <v>575</v>
      </c>
      <c r="I45" s="1293"/>
      <c r="J45" s="1293"/>
      <c r="K45" s="1293"/>
      <c r="L45" s="1293"/>
      <c r="M45" s="1294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5"/>
      <c r="I46" s="1296"/>
      <c r="J46" s="1296"/>
      <c r="K46" s="1296"/>
      <c r="L46" s="1296"/>
      <c r="M46" s="1297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743.68</v>
      </c>
      <c r="F47" s="678">
        <f>SUM(F48:F54)</f>
        <v>6860.02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>
      <c r="B48" s="633"/>
      <c r="C48" s="1250"/>
      <c r="D48" s="1274" t="s">
        <v>1025</v>
      </c>
      <c r="E48" s="708">
        <v>126.89</v>
      </c>
      <c r="F48" s="708">
        <v>6360.02</v>
      </c>
      <c r="G48" s="708"/>
      <c r="H48" s="709"/>
      <c r="I48" s="710"/>
      <c r="J48" s="710"/>
      <c r="K48" s="710"/>
      <c r="L48" s="710"/>
      <c r="M48" s="711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565"/>
      <c r="D49" s="1275" t="s">
        <v>1026</v>
      </c>
      <c r="E49" s="586">
        <v>616.79</v>
      </c>
      <c r="F49" s="586"/>
      <c r="G49" s="586"/>
      <c r="H49" s="543"/>
      <c r="I49" s="712"/>
      <c r="J49" s="712"/>
      <c r="K49" s="712"/>
      <c r="L49" s="712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1275" t="s">
        <v>1029</v>
      </c>
      <c r="E50" s="586"/>
      <c r="F50" s="586">
        <v>500</v>
      </c>
      <c r="G50" s="586"/>
      <c r="H50" s="543"/>
      <c r="I50" s="712"/>
      <c r="J50" s="712"/>
      <c r="K50" s="712"/>
      <c r="L50" s="712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2"/>
      <c r="J51" s="712"/>
      <c r="K51" s="712"/>
      <c r="L51" s="712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2"/>
      <c r="J52" s="712"/>
      <c r="K52" s="712"/>
      <c r="L52" s="712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2"/>
      <c r="J53" s="712"/>
      <c r="K53" s="712"/>
      <c r="L53" s="712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-436.47</v>
      </c>
      <c r="F55" s="678">
        <f>SUM(F56:F62)</f>
        <v>-50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707"/>
      <c r="D56" s="1274" t="s">
        <v>1027</v>
      </c>
      <c r="E56" s="708">
        <v>-436.47</v>
      </c>
      <c r="F56" s="708"/>
      <c r="G56" s="708"/>
      <c r="H56" s="709"/>
      <c r="I56" s="710"/>
      <c r="J56" s="710"/>
      <c r="K56" s="710"/>
      <c r="L56" s="710"/>
      <c r="M56" s="711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565"/>
      <c r="D57" s="1275" t="s">
        <v>1028</v>
      </c>
      <c r="E57" s="586"/>
      <c r="F57" s="586">
        <v>-50</v>
      </c>
      <c r="G57" s="586"/>
      <c r="H57" s="543"/>
      <c r="I57" s="712"/>
      <c r="J57" s="712"/>
      <c r="K57" s="712"/>
      <c r="L57" s="712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565"/>
      <c r="D58" s="566"/>
      <c r="E58" s="586"/>
      <c r="F58" s="586"/>
      <c r="G58" s="586"/>
      <c r="H58" s="543"/>
      <c r="I58" s="712"/>
      <c r="J58" s="712"/>
      <c r="K58" s="712"/>
      <c r="L58" s="712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2"/>
      <c r="J59" s="712"/>
      <c r="K59" s="712"/>
      <c r="L59" s="712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2"/>
      <c r="J60" s="712"/>
      <c r="K60" s="712"/>
      <c r="L60" s="712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2"/>
      <c r="J61" s="712"/>
      <c r="K61" s="712"/>
      <c r="L61" s="712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2" t="s">
        <v>575</v>
      </c>
      <c r="I64" s="1293"/>
      <c r="J64" s="1293"/>
      <c r="K64" s="1293"/>
      <c r="L64" s="1293"/>
      <c r="M64" s="1294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5"/>
      <c r="I65" s="1296"/>
      <c r="J65" s="1296"/>
      <c r="K65" s="1296"/>
      <c r="L65" s="1296"/>
      <c r="M65" s="1297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/>
      <c r="F66" s="514"/>
      <c r="G66" s="827"/>
      <c r="H66" s="713"/>
      <c r="I66" s="714"/>
      <c r="J66" s="714"/>
      <c r="K66" s="714"/>
      <c r="L66" s="714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/>
      <c r="F67" s="519"/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2" t="s">
        <v>575</v>
      </c>
      <c r="I69" s="1293"/>
      <c r="J69" s="1293"/>
      <c r="K69" s="1293"/>
      <c r="L69" s="1293"/>
      <c r="M69" s="1294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5"/>
      <c r="I70" s="1296"/>
      <c r="J70" s="1296"/>
      <c r="K70" s="1296"/>
      <c r="L70" s="1296"/>
      <c r="M70" s="1297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5046.7299999999996</v>
      </c>
      <c r="F71" s="658">
        <f>SUM(F72:F74)</f>
        <v>8583.2000000000007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/>
      <c r="F73" s="517"/>
      <c r="G73" s="517"/>
      <c r="H73" s="543"/>
      <c r="I73" s="712"/>
      <c r="J73" s="712"/>
      <c r="K73" s="712"/>
      <c r="L73" s="712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>
        <v>5046.7299999999996</v>
      </c>
      <c r="F74" s="518">
        <v>8583.2000000000007</v>
      </c>
      <c r="G74" s="518">
        <v>0</v>
      </c>
      <c r="H74" s="715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41589.31</v>
      </c>
      <c r="F75" s="658">
        <f>SUM(F76:F81)</f>
        <v>65090.9</v>
      </c>
      <c r="G75" s="658">
        <f>SUM(G76:G81)</f>
        <v>94584.829999999987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>
        <v>26242.99</v>
      </c>
      <c r="F77" s="586">
        <v>26412.720000000001</v>
      </c>
      <c r="G77" s="586">
        <v>25353.65</v>
      </c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>
        <v>15346.32</v>
      </c>
      <c r="F79" s="586">
        <v>38678.18</v>
      </c>
      <c r="G79" s="586">
        <v>69231.179999999993</v>
      </c>
      <c r="H79" s="543"/>
      <c r="I79" s="712"/>
      <c r="J79" s="712"/>
      <c r="K79" s="712"/>
      <c r="L79" s="712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2"/>
      <c r="J80" s="712"/>
      <c r="K80" s="712"/>
      <c r="L80" s="712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01" t="s">
        <v>735</v>
      </c>
      <c r="D83" s="1302"/>
      <c r="E83" s="1303"/>
      <c r="F83" s="782" t="s">
        <v>416</v>
      </c>
      <c r="G83" s="683" t="s">
        <v>180</v>
      </c>
      <c r="H83" s="1299" t="s">
        <v>575</v>
      </c>
      <c r="I83" s="1299"/>
      <c r="J83" s="1299"/>
      <c r="K83" s="1299"/>
      <c r="L83" s="1299"/>
      <c r="M83" s="1299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35" customHeight="1">
      <c r="B84" s="633"/>
      <c r="C84" s="1304"/>
      <c r="D84" s="1305"/>
      <c r="E84" s="1306"/>
      <c r="F84" s="783" t="s">
        <v>736</v>
      </c>
      <c r="G84" s="684">
        <f>ejercicio</f>
        <v>2019</v>
      </c>
      <c r="H84" s="1300"/>
      <c r="I84" s="1300"/>
      <c r="J84" s="1300"/>
      <c r="K84" s="1300"/>
      <c r="L84" s="1300"/>
      <c r="M84" s="1300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07" t="s">
        <v>737</v>
      </c>
      <c r="D86" s="1308"/>
      <c r="E86" s="1309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10" t="s">
        <v>739</v>
      </c>
      <c r="D88" s="1311"/>
      <c r="E88" s="1312"/>
      <c r="F88" s="829"/>
      <c r="G88" s="517"/>
      <c r="H88" s="725"/>
      <c r="I88" s="712"/>
      <c r="J88" s="712"/>
      <c r="K88" s="712"/>
      <c r="L88" s="712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284"/>
      <c r="D94" s="1284"/>
      <c r="E94" s="1284"/>
      <c r="F94" s="1284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.75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42" zoomScale="66" zoomScaleNormal="66" zoomScalePageLayoutView="66" workbookViewId="0">
      <selection activeCell="K48" sqref="K48:M62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CULTESA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866362.1</v>
      </c>
      <c r="F16" s="328">
        <f>F17+F26+F30+F33+F40+F47+F48</f>
        <v>774434.58</v>
      </c>
      <c r="G16" s="342">
        <f>G17+G26+G30+G33+G40+G47+G48</f>
        <v>625710.94000000006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23193.000000000004</v>
      </c>
      <c r="F17" s="329">
        <f>SUM(F18:F25)</f>
        <v>2215.73</v>
      </c>
      <c r="G17" s="344">
        <f>SUM(G18:G25)</f>
        <v>1586.54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>
        <v>19691.330000000002</v>
      </c>
      <c r="F18" s="458">
        <v>0.03</v>
      </c>
      <c r="G18" s="459">
        <v>0.03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>
        <v>2404.83</v>
      </c>
      <c r="F20" s="461">
        <v>1944.89</v>
      </c>
      <c r="G20" s="462">
        <v>1484.95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1096.8399999999999</v>
      </c>
      <c r="F22" s="461">
        <v>270.81</v>
      </c>
      <c r="G22" s="462">
        <v>101.56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842419.1</v>
      </c>
      <c r="F26" s="329">
        <f>SUM(F27:F29)</f>
        <v>771468.85</v>
      </c>
      <c r="G26" s="344">
        <f>SUM(G27:G29)</f>
        <v>623374.4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/>
      <c r="F27" s="458"/>
      <c r="G27" s="459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822100.41</v>
      </c>
      <c r="F28" s="461">
        <v>771468.85</v>
      </c>
      <c r="G28" s="462">
        <v>623374.4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20318.689999999999</v>
      </c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750</v>
      </c>
      <c r="F40" s="329">
        <f>SUM(F41:F46)</f>
        <v>750</v>
      </c>
      <c r="G40" s="344">
        <f>SUM(G41:G46)</f>
        <v>750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750</v>
      </c>
      <c r="F45" s="461">
        <v>750</v>
      </c>
      <c r="G45" s="462">
        <v>750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1093821.96</v>
      </c>
      <c r="F50" s="328">
        <f>F51+F52+F65+F75+F82+F89+F90</f>
        <v>1101778.1800000002</v>
      </c>
      <c r="G50" s="342">
        <f>G51+G52+G65+G75+G82+G89+G90</f>
        <v>1281482.1599999999</v>
      </c>
      <c r="H50" s="61"/>
      <c r="J50" s="425"/>
      <c r="K50" s="1266"/>
      <c r="L50" s="126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1266"/>
      <c r="L51" s="126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577175.80000000005</v>
      </c>
      <c r="F52" s="329">
        <f t="shared" ref="F52:G52" si="0">F53+F54+F57+F60+F63+F64</f>
        <v>597241.04</v>
      </c>
      <c r="G52" s="344">
        <f t="shared" si="0"/>
        <v>597241.04</v>
      </c>
      <c r="H52" s="50"/>
      <c r="J52" s="425"/>
      <c r="K52" s="1266"/>
      <c r="L52" s="126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1266"/>
      <c r="L54" s="126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1266"/>
      <c r="L56" s="126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577125.80000000005</v>
      </c>
      <c r="F60" s="330">
        <f t="shared" ref="F60:G60" si="3">F61+F62</f>
        <v>597241.04</v>
      </c>
      <c r="G60" s="347">
        <f t="shared" si="3"/>
        <v>597241.04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7">
        <v>577125.80000000005</v>
      </c>
      <c r="F62" s="718">
        <v>597241.04</v>
      </c>
      <c r="G62" s="719">
        <v>597241.04</v>
      </c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>
        <v>50</v>
      </c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88714.47</v>
      </c>
      <c r="F65" s="329">
        <f t="shared" ref="F65:G65" si="4">F66+SUM(F69:F74)</f>
        <v>28927.43</v>
      </c>
      <c r="G65" s="344">
        <f t="shared" si="4"/>
        <v>41964.929999999993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56412.66</v>
      </c>
      <c r="F66" s="330">
        <f t="shared" ref="F66:G66" si="5">F67+F68</f>
        <v>27755.7</v>
      </c>
      <c r="G66" s="347">
        <f t="shared" si="5"/>
        <v>35793.199999999997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7">
        <v>56412.66</v>
      </c>
      <c r="F68" s="718">
        <v>27755.7</v>
      </c>
      <c r="G68" s="719">
        <v>35793.199999999997</v>
      </c>
      <c r="H68" s="50"/>
      <c r="J68" s="425"/>
      <c r="K68" s="426"/>
      <c r="L68" s="426"/>
      <c r="M68" s="126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3</v>
      </c>
      <c r="F70" s="461">
        <v>1171.73</v>
      </c>
      <c r="G70" s="462">
        <v>1171.73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967.23</v>
      </c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>
        <v>42.75</v>
      </c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31288.83</v>
      </c>
      <c r="F73" s="461">
        <v>0</v>
      </c>
      <c r="G73" s="462">
        <v>5000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/>
      <c r="F89" s="464"/>
      <c r="G89" s="465"/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427931.69</v>
      </c>
      <c r="F90" s="329">
        <f t="shared" ref="F90:G90" si="8">SUM(F91:F92)</f>
        <v>475609.71</v>
      </c>
      <c r="G90" s="344">
        <f t="shared" si="8"/>
        <v>642276.18999999994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427931.69</v>
      </c>
      <c r="F91" s="461">
        <v>475609.71</v>
      </c>
      <c r="G91" s="462">
        <v>642276.18999999994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1960184.06</v>
      </c>
      <c r="F94" s="332">
        <f t="shared" ref="F94:G94" si="9">F50+F16</f>
        <v>1876212.7600000002</v>
      </c>
      <c r="G94" s="317">
        <f t="shared" si="9"/>
        <v>1907193.1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0"/>
      <c r="D95" s="1290"/>
      <c r="E95" s="1290"/>
      <c r="F95" s="129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A10" zoomScale="60" zoomScaleNormal="60" zoomScalePageLayoutView="60" workbookViewId="0">
      <selection activeCell="G10" sqref="G1:G1048576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CULTESA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1771073.0400000003</v>
      </c>
      <c r="F16" s="133">
        <f>F17+F35+F41</f>
        <v>1779770.32</v>
      </c>
      <c r="G16" s="142">
        <f>G17+G35+G41</f>
        <v>1781114.5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1757944.9600000002</v>
      </c>
      <c r="F17" s="134">
        <f>+F18+F21+F22+F27+F28+F31+F32+F33+F34</f>
        <v>1761217.58</v>
      </c>
      <c r="G17" s="144">
        <f>+G18+G21+G22+G27+G28+G31+G32+G33+G34</f>
        <v>1764811.76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300506.05</v>
      </c>
      <c r="F18" s="134">
        <f>SUM(F19:F20)</f>
        <v>300506.05</v>
      </c>
      <c r="G18" s="144">
        <f>SUM(G19:G20)</f>
        <v>300506.05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300506.05</v>
      </c>
      <c r="F19" s="453">
        <v>300506.05</v>
      </c>
      <c r="G19" s="469">
        <v>300506.05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1417771.86</v>
      </c>
      <c r="F22" s="134">
        <f>SUM(F23:F26)</f>
        <v>1438440.68</v>
      </c>
      <c r="G22" s="144">
        <f>SUM(G23:G26)</f>
        <v>1441713.3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>
        <v>66888.039999999994</v>
      </c>
      <c r="F23" s="453">
        <v>66888.039999999994</v>
      </c>
      <c r="G23" s="469">
        <v>66888.039999999994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1350883.82</v>
      </c>
      <c r="F24" s="454">
        <v>1371552.64</v>
      </c>
      <c r="G24" s="470">
        <v>1374825.26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/>
      <c r="F30" s="454"/>
      <c r="G30" s="470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>
        <v>18998.23</v>
      </c>
      <c r="F31" s="455">
        <v>18998.23</v>
      </c>
      <c r="G31" s="471">
        <v>18998.23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20668.82</v>
      </c>
      <c r="F32" s="455">
        <v>3272.62</v>
      </c>
      <c r="G32" s="471">
        <v>3594.18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v>13128.08</v>
      </c>
      <c r="F41" s="455">
        <v>18552.740000000002</v>
      </c>
      <c r="G41" s="471">
        <v>16302.74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4376.03</v>
      </c>
      <c r="F43" s="133">
        <f>F44+F49+SUM(F55:F59)</f>
        <v>6184.25</v>
      </c>
      <c r="G43" s="142">
        <f>G44+G49+SUM(G55:G59)</f>
        <v>5434.25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v>4376.03</v>
      </c>
      <c r="F56" s="455">
        <v>6184.25</v>
      </c>
      <c r="G56" s="471">
        <v>5434.25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184734.99</v>
      </c>
      <c r="F61" s="133">
        <f>F62+F63+F66+F72+F73+F83+F84</f>
        <v>90258.19</v>
      </c>
      <c r="G61" s="142">
        <f>G62+G63+G66+G72+G73+G83+G84</f>
        <v>120644.35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8424.3700000000008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>
        <v>8424.3700000000008</v>
      </c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170186.15</v>
      </c>
      <c r="F73" s="134">
        <f>F74+SUM(F77:F82)</f>
        <v>90258.19</v>
      </c>
      <c r="G73" s="144">
        <f>G74+SUM(G77:G82)</f>
        <v>120644.35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54025.75</v>
      </c>
      <c r="F74" s="136">
        <f>SUM(F75:F76)</f>
        <v>39460.410000000003</v>
      </c>
      <c r="G74" s="147">
        <f>SUM(G75:G76)</f>
        <v>66636.02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>
        <v>54025.75</v>
      </c>
      <c r="F76" s="472">
        <v>39460.410000000003</v>
      </c>
      <c r="G76" s="473">
        <v>66636.02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41249.14</v>
      </c>
      <c r="F78" s="454">
        <v>22923.61</v>
      </c>
      <c r="G78" s="470">
        <v>27508.33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>
        <v>49091.29</v>
      </c>
      <c r="F80" s="454">
        <v>2950.68</v>
      </c>
      <c r="G80" s="1276">
        <v>3000</v>
      </c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/>
      <c r="F81" s="454"/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>
        <v>25819.97</v>
      </c>
      <c r="F82" s="454">
        <v>24923.49</v>
      </c>
      <c r="G82" s="470">
        <v>23500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>
        <v>6124.47</v>
      </c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1960184.0600000003</v>
      </c>
      <c r="F86" s="138">
        <f>F16+F43+F61</f>
        <v>1876212.76</v>
      </c>
      <c r="G86" s="153">
        <f>G16+G43+G61</f>
        <v>1907193.1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0"/>
      <c r="D87" s="1290"/>
      <c r="E87" s="1290"/>
      <c r="F87" s="129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A10" zoomScale="50" zoomScaleNormal="50" zoomScalePageLayoutView="55" workbookViewId="0">
      <selection activeCell="J27" sqref="J27"/>
    </sheetView>
  </sheetViews>
  <sheetFormatPr baseColWidth="10" defaultColWidth="10.6640625" defaultRowHeight="23.1" customHeight="1"/>
  <cols>
    <col min="1" max="1" width="4.33203125" style="731" bestFit="1" customWidth="1"/>
    <col min="2" max="2" width="3.33203125" style="731" customWidth="1"/>
    <col min="3" max="3" width="13.5546875" style="731" customWidth="1"/>
    <col min="4" max="4" width="76.6640625" style="731" customWidth="1"/>
    <col min="5" max="16" width="18.332031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1219" t="s">
        <v>31</v>
      </c>
    </row>
    <row r="3" spans="1:32" ht="23.1" customHeight="1">
      <c r="D3" s="1219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CULTESA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1337">
        <f>ejercicio-1</f>
        <v>2018</v>
      </c>
      <c r="D13" s="1339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16"/>
      <c r="N13" s="1317"/>
      <c r="O13" s="1317"/>
      <c r="P13" s="1318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1338"/>
      <c r="D14" s="1340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13" t="s">
        <v>1006</v>
      </c>
      <c r="N14" s="1314"/>
      <c r="O14" s="1314"/>
      <c r="P14" s="1315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19"/>
      <c r="N15" s="1320"/>
      <c r="O15" s="1320"/>
      <c r="P15" s="1321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1757944.9600000002</v>
      </c>
      <c r="F16" s="1232">
        <f t="shared" si="0"/>
        <v>0</v>
      </c>
      <c r="G16" s="1232">
        <f t="shared" si="0"/>
        <v>0</v>
      </c>
      <c r="H16" s="1232">
        <f t="shared" si="0"/>
        <v>0</v>
      </c>
      <c r="I16" s="1232">
        <f t="shared" si="0"/>
        <v>0</v>
      </c>
      <c r="J16" s="1232">
        <f t="shared" si="0"/>
        <v>0</v>
      </c>
      <c r="K16" s="1232">
        <f t="shared" si="0"/>
        <v>3272.62</v>
      </c>
      <c r="L16" s="1232">
        <f t="shared" si="0"/>
        <v>1761217.5800000003</v>
      </c>
      <c r="M16" s="1322"/>
      <c r="N16" s="1323"/>
      <c r="O16" s="1323"/>
      <c r="P16" s="1324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300506.05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300506.05</v>
      </c>
      <c r="M17" s="1325"/>
      <c r="N17" s="1326"/>
      <c r="O17" s="1326"/>
      <c r="P17" s="1327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300506.05</v>
      </c>
      <c r="F18" s="453"/>
      <c r="G18" s="453"/>
      <c r="H18" s="453"/>
      <c r="I18" s="453"/>
      <c r="J18" s="453"/>
      <c r="K18" s="453"/>
      <c r="L18" s="1238">
        <f>SUM(E18:K18)</f>
        <v>300506.05</v>
      </c>
      <c r="M18" s="1328"/>
      <c r="N18" s="1329"/>
      <c r="O18" s="1329"/>
      <c r="P18" s="1330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31"/>
      <c r="N19" s="1332"/>
      <c r="O19" s="1332"/>
      <c r="P19" s="1333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0</v>
      </c>
      <c r="F20" s="455"/>
      <c r="G20" s="455"/>
      <c r="H20" s="455"/>
      <c r="I20" s="455"/>
      <c r="J20" s="455"/>
      <c r="K20" s="455"/>
      <c r="L20" s="1235">
        <f>SUM(E20:K20)</f>
        <v>0</v>
      </c>
      <c r="M20" s="1334"/>
      <c r="N20" s="1335"/>
      <c r="O20" s="1335"/>
      <c r="P20" s="1336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1417771.86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20668.82</v>
      </c>
      <c r="J21" s="1235">
        <f t="shared" si="2"/>
        <v>0</v>
      </c>
      <c r="K21" s="1235">
        <f t="shared" si="2"/>
        <v>0</v>
      </c>
      <c r="L21" s="1235">
        <f t="shared" si="2"/>
        <v>1438440.6800000002</v>
      </c>
      <c r="M21" s="1325"/>
      <c r="N21" s="1326"/>
      <c r="O21" s="1326"/>
      <c r="P21" s="1327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66888.039999999994</v>
      </c>
      <c r="F22" s="453"/>
      <c r="G22" s="453"/>
      <c r="H22" s="453"/>
      <c r="I22" s="453"/>
      <c r="J22" s="453"/>
      <c r="K22" s="453"/>
      <c r="L22" s="1238">
        <f>SUM(E22:K22)</f>
        <v>66888.039999999994</v>
      </c>
      <c r="M22" s="1328"/>
      <c r="N22" s="1329"/>
      <c r="O22" s="1329"/>
      <c r="P22" s="1330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1350883.82</v>
      </c>
      <c r="F23" s="454"/>
      <c r="G23" s="454"/>
      <c r="H23" s="454"/>
      <c r="I23" s="454">
        <v>20668.82</v>
      </c>
      <c r="J23" s="454"/>
      <c r="K23" s="454"/>
      <c r="L23" s="1241">
        <f>SUM(E23:K23)</f>
        <v>1371552.6400000001</v>
      </c>
      <c r="M23" s="1331"/>
      <c r="N23" s="1332"/>
      <c r="O23" s="1332"/>
      <c r="P23" s="1333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31"/>
      <c r="N24" s="1332"/>
      <c r="O24" s="1332"/>
      <c r="P24" s="1333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31"/>
      <c r="N25" s="1332"/>
      <c r="O25" s="1332"/>
      <c r="P25" s="1333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34"/>
      <c r="N26" s="1335"/>
      <c r="O26" s="1335"/>
      <c r="P26" s="1336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0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0</v>
      </c>
      <c r="J27" s="1235">
        <f t="shared" si="3"/>
        <v>0</v>
      </c>
      <c r="K27" s="1235">
        <f t="shared" si="3"/>
        <v>0</v>
      </c>
      <c r="L27" s="1235">
        <f t="shared" si="3"/>
        <v>0</v>
      </c>
      <c r="M27" s="1325"/>
      <c r="N27" s="1326"/>
      <c r="O27" s="1326"/>
      <c r="P27" s="1327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28"/>
      <c r="N28" s="1329"/>
      <c r="O28" s="1329"/>
      <c r="P28" s="1330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0</v>
      </c>
      <c r="F29" s="454"/>
      <c r="G29" s="454"/>
      <c r="H29" s="454"/>
      <c r="I29" s="454"/>
      <c r="J29" s="454"/>
      <c r="K29" s="454"/>
      <c r="L29" s="1241">
        <f t="shared" si="4"/>
        <v>0</v>
      </c>
      <c r="M29" s="1331"/>
      <c r="N29" s="1332"/>
      <c r="O29" s="1332"/>
      <c r="P29" s="1333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18998.23</v>
      </c>
      <c r="F30" s="455"/>
      <c r="G30" s="455"/>
      <c r="H30" s="455"/>
      <c r="I30" s="455"/>
      <c r="J30" s="455"/>
      <c r="K30" s="455"/>
      <c r="L30" s="1235">
        <f t="shared" si="4"/>
        <v>18998.23</v>
      </c>
      <c r="M30" s="1334"/>
      <c r="N30" s="1335"/>
      <c r="O30" s="1335"/>
      <c r="P30" s="1336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20668.82</v>
      </c>
      <c r="F31" s="455"/>
      <c r="G31" s="455"/>
      <c r="H31" s="455"/>
      <c r="I31" s="455">
        <v>-20668.82</v>
      </c>
      <c r="J31" s="455"/>
      <c r="K31" s="455">
        <v>3272.62</v>
      </c>
      <c r="L31" s="1235">
        <f t="shared" si="4"/>
        <v>3272.62</v>
      </c>
      <c r="M31" s="1325"/>
      <c r="N31" s="1326"/>
      <c r="O31" s="1326"/>
      <c r="P31" s="1327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25"/>
      <c r="N32" s="1326"/>
      <c r="O32" s="1326"/>
      <c r="P32" s="1327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25"/>
      <c r="N33" s="1326"/>
      <c r="O33" s="1326"/>
      <c r="P33" s="1327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37">
        <f>ejercicio</f>
        <v>2019</v>
      </c>
      <c r="D35" s="1339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1004</v>
      </c>
      <c r="L35" s="1220" t="s">
        <v>982</v>
      </c>
      <c r="M35" s="1316"/>
      <c r="N35" s="1317"/>
      <c r="O35" s="1317"/>
      <c r="P35" s="1318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38"/>
      <c r="D36" s="1340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13" t="s">
        <v>1006</v>
      </c>
      <c r="N36" s="1314"/>
      <c r="O36" s="1314"/>
      <c r="P36" s="1315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19"/>
      <c r="N37" s="1320"/>
      <c r="O37" s="1320"/>
      <c r="P37" s="1321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1761217.5800000003</v>
      </c>
      <c r="F38" s="1232">
        <f t="shared" si="5"/>
        <v>0</v>
      </c>
      <c r="G38" s="1232">
        <f t="shared" si="5"/>
        <v>0</v>
      </c>
      <c r="H38" s="1232">
        <f t="shared" si="5"/>
        <v>0</v>
      </c>
      <c r="I38" s="1232">
        <f t="shared" si="5"/>
        <v>0</v>
      </c>
      <c r="J38" s="1232">
        <f t="shared" si="5"/>
        <v>0</v>
      </c>
      <c r="K38" s="1232">
        <f t="shared" si="5"/>
        <v>3594.18</v>
      </c>
      <c r="L38" s="1232">
        <f t="shared" si="5"/>
        <v>1764811.7600000002</v>
      </c>
      <c r="M38" s="1322"/>
      <c r="N38" s="1323"/>
      <c r="O38" s="1323"/>
      <c r="P38" s="1324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300506.05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300506.05</v>
      </c>
      <c r="M39" s="1325"/>
      <c r="N39" s="1326"/>
      <c r="O39" s="1326"/>
      <c r="P39" s="1327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300506.05</v>
      </c>
      <c r="F40" s="453"/>
      <c r="G40" s="453"/>
      <c r="H40" s="453"/>
      <c r="I40" s="453"/>
      <c r="J40" s="453"/>
      <c r="K40" s="453"/>
      <c r="L40" s="1238">
        <f>SUM(E40:K40)</f>
        <v>300506.05</v>
      </c>
      <c r="M40" s="1328"/>
      <c r="N40" s="1329"/>
      <c r="O40" s="1329"/>
      <c r="P40" s="1330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31"/>
      <c r="N41" s="1332"/>
      <c r="O41" s="1332"/>
      <c r="P41" s="1333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0</v>
      </c>
      <c r="F42" s="455"/>
      <c r="G42" s="455"/>
      <c r="H42" s="455"/>
      <c r="I42" s="455"/>
      <c r="J42" s="455"/>
      <c r="K42" s="455"/>
      <c r="L42" s="1235">
        <f>SUM(E42:K42)</f>
        <v>0</v>
      </c>
      <c r="M42" s="1334"/>
      <c r="N42" s="1335"/>
      <c r="O42" s="1335"/>
      <c r="P42" s="1336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1438440.6800000002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3272.62</v>
      </c>
      <c r="J43" s="1235">
        <f t="shared" si="7"/>
        <v>0</v>
      </c>
      <c r="K43" s="1235">
        <f t="shared" si="7"/>
        <v>0</v>
      </c>
      <c r="L43" s="1235">
        <f t="shared" si="7"/>
        <v>1441713.3000000003</v>
      </c>
      <c r="M43" s="1325"/>
      <c r="N43" s="1326"/>
      <c r="O43" s="1326"/>
      <c r="P43" s="1327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66888.039999999994</v>
      </c>
      <c r="F44" s="453"/>
      <c r="G44" s="453"/>
      <c r="H44" s="453"/>
      <c r="I44" s="453"/>
      <c r="J44" s="453"/>
      <c r="K44" s="453"/>
      <c r="L44" s="1238">
        <f>SUM(E44:K44)</f>
        <v>66888.039999999994</v>
      </c>
      <c r="M44" s="1328"/>
      <c r="N44" s="1329"/>
      <c r="O44" s="1329"/>
      <c r="P44" s="1330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1371552.6400000001</v>
      </c>
      <c r="F45" s="454"/>
      <c r="G45" s="454"/>
      <c r="H45" s="454"/>
      <c r="I45" s="454">
        <v>3272.62</v>
      </c>
      <c r="J45" s="454"/>
      <c r="K45" s="454"/>
      <c r="L45" s="1241">
        <f>SUM(E45:K45)</f>
        <v>1374825.2600000002</v>
      </c>
      <c r="M45" s="1331"/>
      <c r="N45" s="1332"/>
      <c r="O45" s="1332"/>
      <c r="P45" s="1333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31"/>
      <c r="N46" s="1332"/>
      <c r="O46" s="1332"/>
      <c r="P46" s="1333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31"/>
      <c r="N47" s="1332"/>
      <c r="O47" s="1332"/>
      <c r="P47" s="1333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34"/>
      <c r="N48" s="1335"/>
      <c r="O48" s="1335"/>
      <c r="P48" s="1336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0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0</v>
      </c>
      <c r="J49" s="1235">
        <f t="shared" si="8"/>
        <v>0</v>
      </c>
      <c r="K49" s="1235">
        <f t="shared" si="8"/>
        <v>0</v>
      </c>
      <c r="L49" s="1235">
        <f t="shared" si="8"/>
        <v>0</v>
      </c>
      <c r="M49" s="1325"/>
      <c r="N49" s="1326"/>
      <c r="O49" s="1326"/>
      <c r="P49" s="1327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28"/>
      <c r="N50" s="1329"/>
      <c r="O50" s="1329"/>
      <c r="P50" s="1330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0</v>
      </c>
      <c r="F51" s="454"/>
      <c r="G51" s="454"/>
      <c r="H51" s="454"/>
      <c r="I51" s="454"/>
      <c r="J51" s="454"/>
      <c r="K51" s="454"/>
      <c r="L51" s="1241">
        <f t="shared" si="10"/>
        <v>0</v>
      </c>
      <c r="M51" s="1331"/>
      <c r="N51" s="1332"/>
      <c r="O51" s="1332"/>
      <c r="P51" s="1333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18998.23</v>
      </c>
      <c r="F52" s="455"/>
      <c r="G52" s="455"/>
      <c r="H52" s="455"/>
      <c r="I52" s="455"/>
      <c r="J52" s="455"/>
      <c r="K52" s="455"/>
      <c r="L52" s="1235">
        <f t="shared" si="10"/>
        <v>18998.23</v>
      </c>
      <c r="M52" s="1334"/>
      <c r="N52" s="1335"/>
      <c r="O52" s="1335"/>
      <c r="P52" s="1336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3272.62</v>
      </c>
      <c r="F53" s="455"/>
      <c r="G53" s="455"/>
      <c r="H53" s="455"/>
      <c r="I53" s="455">
        <v>-3272.62</v>
      </c>
      <c r="J53" s="455"/>
      <c r="K53" s="455">
        <v>3594.18</v>
      </c>
      <c r="L53" s="1235">
        <f t="shared" si="10"/>
        <v>3594.18</v>
      </c>
      <c r="M53" s="1325"/>
      <c r="N53" s="1326"/>
      <c r="O53" s="1326"/>
      <c r="P53" s="1327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25"/>
      <c r="N54" s="1326"/>
      <c r="O54" s="1326"/>
      <c r="P54" s="1327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25"/>
      <c r="N55" s="1326"/>
      <c r="O55" s="1326"/>
      <c r="P55" s="1327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7"/>
      <c r="C58" s="1284"/>
      <c r="D58" s="1284"/>
      <c r="E58" s="1284"/>
      <c r="F58" s="1284"/>
      <c r="G58" s="1284"/>
      <c r="H58" s="1284"/>
      <c r="I58" s="1284"/>
      <c r="J58" s="1284"/>
      <c r="K58" s="1284"/>
      <c r="L58" s="1284"/>
      <c r="M58" s="1284"/>
      <c r="N58" s="1284"/>
      <c r="O58" s="1284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2.75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2.75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.75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.75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.75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3.1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.1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.75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.75">
      <c r="O69" s="732"/>
      <c r="P69" s="732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2018-10-26T06:39:16Z</cp:lastPrinted>
  <dcterms:created xsi:type="dcterms:W3CDTF">2017-09-18T15:25:23Z</dcterms:created>
  <dcterms:modified xsi:type="dcterms:W3CDTF">2018-11-06T15:15:28Z</dcterms:modified>
</cp:coreProperties>
</file>