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170" tabRatio="850" activeTab="1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'FC-3_1_INF_ADIC_CPyG'!$B$1:$N$104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<sst xmlns="http://schemas.openxmlformats.org/spreadsheetml/2006/main" count="2061" uniqueCount="1087">
  <si>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</si>
  <si>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</si>
  <si>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</si>
  <si>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</si>
  <si>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</si>
  <si>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</si>
  <si>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</si>
  <si>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</si>
  <si>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</si>
  <si>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</si>
  <si>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</si>
  <si>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</si>
  <si>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</si>
  <si>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</si>
  <si>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</si>
  <si>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</si>
  <si>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</si>
  <si>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</si>
  <si>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</si>
  <si>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</si>
  <si>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</si>
  <si>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</si>
  <si>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</si>
  <si>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</si>
  <si>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</si>
  <si>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</si>
  <si>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</si>
  <si>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</si>
  <si>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</si>
  <si>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</si>
  <si>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</si>
  <si>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</si>
  <si>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</si>
  <si>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</si>
  <si>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</si>
  <si>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</si>
  <si>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</si>
  <si>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</si>
  <si>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</si>
  <si>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</si>
  <si>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</si>
  <si>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</si>
  <si>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</si>
  <si>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</si>
  <si>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</si>
  <si>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</si>
  <si>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</si>
  <si>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</si>
  <si>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</si>
  <si>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</si>
  <si>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</si>
  <si>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</si>
  <si>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</si>
  <si>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</si>
  <si>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</si>
  <si>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</si>
  <si>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</si>
  <si>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</si>
  <si>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</si>
  <si>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</si>
  <si>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</si>
  <si>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</si>
  <si>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</si>
  <si>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</si>
  <si>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</si>
  <si>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</si>
  <si>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</si>
  <si>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</si>
  <si>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</si>
  <si>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</si>
  <si>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</si>
  <si>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</si>
  <si>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</si>
  <si>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</si>
  <si>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</si>
  <si>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</si>
  <si>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</si>
  <si>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</si>
  <si>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</si>
  <si>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</si>
  <si>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</si>
  <si>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</si>
  <si>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</si>
  <si>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</si>
  <si>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</si>
  <si>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</si>
  <si>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</si>
  <si>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</si>
  <si>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</si>
  <si>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</si>
  <si>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</si>
  <si>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</si>
  <si>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</si>
  <si>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</si>
  <si>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</si>
  <si>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</si>
  <si>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</si>
  <si>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</si>
  <si>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</si>
  <si>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</si>
  <si>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</si>
  <si>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</si>
  <si>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</si>
  <si>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</si>
  <si>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</si>
  <si>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</si>
  <si>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</si>
  <si>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</si>
  <si>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</si>
  <si>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</si>
  <si>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</si>
  <si>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</si>
  <si>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</si>
  <si>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</si>
  <si>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</si>
  <si>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</si>
  <si>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</si>
  <si>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</si>
  <si>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</si>
  <si>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</si>
  <si>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</si>
  <si>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</si>
  <si>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</si>
  <si>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</si>
  <si>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</si>
  <si>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</si>
  <si>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</si>
  <si>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</si>
  <si>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</si>
  <si>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</si>
  <si>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</si>
  <si>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</si>
  <si>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</si>
  <si>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</si>
  <si>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</si>
  <si>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</si>
  <si>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</si>
  <si>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</si>
  <si>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</si>
  <si>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</si>
  <si>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</si>
  <si>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</si>
  <si>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</si>
  <si>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</si>
  <si>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</si>
  <si>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</si>
  <si>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</si>
  <si>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</si>
  <si>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</si>
  <si>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</si>
  <si>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</si>
  <si>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</si>
  <si>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</si>
  <si>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</si>
  <si>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</si>
  <si>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</si>
  <si>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</si>
  <si>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</si>
  <si>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</si>
  <si>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</si>
  <si>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</si>
  <si>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</si>
  <si>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</si>
  <si>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</si>
  <si>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</si>
  <si>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</si>
  <si>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</si>
  <si>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</si>
  <si>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</si>
  <si>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</si>
  <si>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</si>
  <si>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</si>
  <si>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</si>
  <si>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</si>
  <si>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</si>
  <si>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</si>
  <si>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</si>
  <si>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</si>
  <si>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</si>
  <si>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</si>
  <si>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</si>
  <si>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</si>
  <si>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</si>
  <si>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</si>
  <si>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</si>
  <si>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</si>
  <si>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</si>
  <si>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</si>
  <si>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</si>
  <si>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</si>
  <si>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</si>
  <si>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</si>
  <si>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</si>
  <si>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</si>
  <si>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</si>
  <si>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</si>
  <si>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</si>
  <si>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</si>
  <si>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</si>
  <si>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</si>
  <si>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</si>
  <si>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</si>
  <si>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</si>
  <si>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</si>
  <si>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</si>
  <si>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</si>
  <si>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</si>
  <si>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</si>
  <si>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</si>
  <si>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</si>
  <si>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</si>
  <si>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</si>
  <si>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</si>
  <si>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</si>
  <si>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</si>
  <si>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</si>
  <si>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</si>
  <si>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</si>
  <si>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</si>
  <si>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</si>
  <si>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</si>
  <si>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</si>
  <si>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</si>
  <si>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</si>
  <si>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</si>
  <si>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</si>
  <si>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</si>
  <si>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</si>
  <si>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</si>
  <si>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</si>
  <si>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</si>
  <si>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</si>
  <si>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</si>
  <si>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</si>
  <si>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</si>
  <si>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</si>
  <si>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</si>
  <si>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</si>
  <si>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</si>
  <si>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</si>
  <si>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</si>
  <si>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</si>
  <si>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</si>
  <si>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</si>
  <si>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</si>
  <si>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</si>
  <si>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</si>
  <si>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</si>
  <si>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</si>
  <si>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</si>
  <si>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</si>
  <si>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</si>
  <si>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</si>
  <si>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</si>
  <si>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</si>
  <si>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</si>
  <si>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</si>
  <si>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</si>
  <si>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</si>
  <si>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</si>
  <si>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</si>
  <si>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</si>
  <si>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</si>
  <si>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</si>
  <si>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</si>
  <si>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</si>
  <si>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</si>
  <si>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</si>
  <si>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</si>
  <si>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</si>
  <si>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</si>
  <si>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</si>
  <si>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</si>
  <si>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</si>
  <si>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</si>
  <si>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</si>
  <si>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</si>
  <si>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</si>
  <si>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</si>
  <si>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</si>
  <si>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</si>
  <si>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</si>
  <si>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</si>
  <si>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</si>
  <si>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</si>
  <si>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</si>
  <si>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</si>
  <si>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</si>
  <si>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</si>
  <si>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</si>
  <si>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</si>
  <si>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</si>
  <si>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</si>
  <si>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</si>
  <si>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</si>
  <si>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</si>
  <si>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</si>
  <si>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</si>
  <si>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</si>
  <si>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</si>
  <si>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</si>
  <si>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</si>
  <si>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</si>
  <si>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</si>
  <si>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</si>
  <si>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</si>
  <si>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</si>
  <si>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</si>
  <si>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</si>
  <si>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</si>
  <si>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</si>
  <si>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</si>
  <si>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</si>
  <si>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</si>
  <si>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</si>
  <si>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</si>
  <si>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</si>
  <si>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</si>
  <si>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</si>
  <si>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</si>
  <si>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</si>
  <si>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</si>
  <si>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</si>
  <si>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</si>
  <si>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</si>
  <si>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</si>
  <si>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</si>
  <si>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</si>
  <si>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</si>
  <si>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</si>
  <si>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</si>
  <si>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</si>
  <si>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</si>
  <si>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</si>
  <si>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</si>
  <si>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</si>
  <si>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</si>
  <si>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</si>
  <si>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</si>
  <si>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</si>
  <si>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</si>
  <si>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</si>
  <si>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</si>
  <si>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</si>
  <si>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</si>
  <si>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</si>
  <si>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</si>
  <si>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</si>
  <si>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</si>
  <si>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</si>
  <si>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</si>
  <si>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</si>
  <si>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</si>
  <si>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</si>
  <si>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</si>
  <si>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</si>
  <si>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</si>
  <si>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</si>
  <si>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</si>
  <si>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</si>
  <si>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</si>
  <si>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</si>
  <si>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</si>
  <si>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</si>
  <si>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</si>
  <si>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</si>
  <si>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</si>
  <si>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</si>
  <si>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</si>
  <si>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</si>
  <si>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</si>
  <si>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</si>
  <si>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</si>
  <si>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</si>
  <si>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</si>
  <si>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</si>
  <si>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</si>
  <si>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</si>
  <si>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</si>
  <si>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</si>
  <si>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</si>
  <si>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</si>
  <si>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</si>
  <si>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</si>
  <si>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</si>
  <si>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</si>
  <si>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</si>
  <si>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</si>
  <si>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</si>
  <si>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</si>
  <si>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</si>
  <si>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</si>
  <si>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</si>
  <si>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</si>
  <si>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</si>
  <si>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</si>
  <si>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</si>
  <si>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</si>
  <si>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</si>
  <si>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</si>
  <si>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</si>
  <si>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</si>
  <si>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</si>
  <si>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</si>
  <si>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</si>
  <si>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</si>
  <si>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</si>
  <si>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</si>
  <si>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</si>
  <si>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</si>
  <si>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</si>
  <si>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</si>
  <si>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</si>
  <si>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</si>
  <si>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</si>
  <si>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</si>
  <si>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</si>
  <si>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</si>
  <si>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</si>
  <si>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</si>
  <si>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</si>
  <si>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</si>
  <si>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</si>
  <si>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</si>
  <si>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</si>
  <si>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</si>
  <si>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</si>
  <si>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</si>
  <si>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</si>
  <si>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</si>
  <si>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</si>
  <si>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</si>
  <si>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</si>
  <si>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</si>
  <si>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</si>
  <si>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</si>
  <si>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</si>
  <si>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</si>
  <si>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</si>
  <si>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</si>
  <si>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</si>
  <si>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</si>
  <si>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</si>
  <si>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</si>
  <si>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</si>
  <si>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</si>
  <si>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</si>
  <si>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</si>
  <si>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</si>
  <si>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</si>
  <si>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</si>
  <si>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</si>
  <si>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</si>
  <si>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</si>
  <si>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</si>
  <si>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</si>
  <si>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</si>
  <si>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</si>
  <si>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</si>
  <si>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</si>
  <si>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</si>
  <si>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</si>
  <si>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</si>
  <si>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</si>
  <si>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</si>
  <si>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</si>
  <si>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</si>
  <si>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</si>
  <si>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</si>
  <si>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</si>
  <si>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</si>
  <si>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</si>
  <si>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</si>
  <si>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</si>
  <si>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</si>
  <si>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</si>
  <si>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</si>
  <si>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</si>
  <si>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</si>
  <si>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</si>
  <si>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</si>
  <si>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</si>
  <si>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</si>
  <si>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</si>
  <si>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</si>
  <si>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</si>
  <si>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</si>
  <si>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</si>
  <si>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</si>
  <si>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</si>
  <si>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</si>
  <si>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</si>
  <si>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</si>
  <si>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</si>
  <si>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</si>
  <si>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</si>
  <si>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</si>
  <si>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</si>
  <si>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</si>
  <si>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</si>
  <si>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</si>
  <si>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</si>
  <si>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</si>
  <si>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</si>
  <si>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</si>
  <si>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</si>
  <si>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</si>
  <si>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</si>
  <si>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</si>
  <si>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</si>
  <si>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</si>
  <si>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</si>
  <si>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</si>
  <si>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</si>
  <si>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</si>
  <si>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</si>
  <si>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</si>
  <si>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</si>
  <si>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</si>
  <si>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</si>
  <si>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</si>
  <si>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</si>
  <si>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</si>
  <si>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</si>
  <si>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</si>
  <si>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</si>
  <si>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</si>
  <si>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</si>
  <si>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</si>
  <si>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</si>
  <si>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</si>
  <si>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</si>
  <si>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</si>
  <si>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</si>
  <si>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</si>
  <si>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</si>
  <si>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</si>
  <si>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</si>
  <si>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</si>
  <si>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</si>
  <si>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</si>
  <si>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</si>
  <si>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</si>
  <si>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</si>
  <si>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</si>
  <si>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</si>
  <si>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</si>
  <si>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</si>
  <si>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</si>
  <si>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</si>
  <si>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</si>
  <si>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</si>
  <si>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</si>
  <si>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</si>
  <si>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</si>
  <si>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</si>
  <si>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</si>
  <si>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</si>
  <si>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</si>
  <si>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</si>
  <si>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</si>
  <si>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</si>
  <si>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</si>
  <si>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</si>
  <si>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</si>
  <si>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</si>
  <si>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</si>
  <si>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</si>
  <si>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</si>
  <si>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</si>
  <si>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</si>
  <si>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</si>
  <si>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</si>
  <si>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</si>
  <si>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</si>
  <si>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</si>
  <si>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</si>
  <si>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</si>
  <si>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</si>
  <si>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</si>
  <si>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</si>
  <si>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</si>
  <si>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</si>
  <si>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</si>
  <si>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</si>
  <si>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</si>
  <si>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</si>
  <si>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</si>
  <si>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</si>
  <si>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</si>
  <si>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</si>
  <si>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</si>
  <si>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</si>
  <si>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</si>
  <si>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</si>
  <si>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</si>
  <si>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</si>
  <si>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</si>
  <si>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</si>
  <si>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</si>
  <si>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</si>
  <si>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</si>
  <si>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</si>
  <si>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</si>
  <si>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</si>
  <si>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</si>
  <si>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</si>
  <si>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</si>
  <si>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</si>
  <si>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</si>
  <si>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</si>
  <si>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</si>
  <si>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</si>
  <si>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</si>
  <si>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</si>
  <si>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</si>
  <si>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</si>
  <si>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</si>
  <si>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</si>
  <si>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</si>
  <si>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</si>
  <si>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</si>
  <si>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</si>
  <si>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</si>
  <si>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</si>
  <si>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</si>
  <si>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</si>
  <si>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</si>
  <si>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</si>
  <si>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</si>
  <si>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</si>
  <si>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</si>
  <si>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</si>
  <si>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</si>
  <si>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</si>
  <si>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</si>
  <si>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</si>
  <si>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</si>
  <si>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</si>
  <si>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</si>
  <si>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</si>
  <si>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</si>
  <si>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</si>
  <si>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</si>
  <si>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</si>
  <si>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</si>
  <si>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</si>
  <si>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</si>
  <si>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</si>
  <si>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</si>
  <si>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</si>
  <si>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</si>
  <si>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</si>
  <si>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</si>
  <si>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</si>
  <si>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</si>
  <si>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</si>
  <si>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</si>
  <si>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</si>
  <si>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</si>
  <si>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</si>
  <si>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</si>
  <si>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</si>
  <si>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</si>
  <si>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</si>
  <si>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</si>
  <si>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</si>
  <si>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</si>
  <si>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</si>
  <si>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</si>
  <si>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</si>
  <si>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</si>
  <si>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</si>
  <si>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</si>
  <si>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</si>
  <si>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</si>
  <si>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</si>
  <si>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</si>
  <si>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</si>
  <si>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</si>
  <si>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</si>
  <si>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</si>
  <si>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</si>
  <si>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</si>
  <si>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</si>
  <si>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</si>
  <si>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</si>
  <si>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</si>
  <si>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</si>
  <si>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</si>
  <si>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</si>
  <si>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</si>
  <si>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</si>
  <si>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</si>
  <si>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</si>
  <si>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</si>
  <si>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</si>
  <si>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</si>
  <si>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</si>
  <si>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</si>
  <si>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</si>
  <si>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</si>
  <si>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</si>
  <si>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</si>
  <si>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</si>
  <si>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</si>
  <si>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</si>
  <si>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</si>
  <si>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</si>
  <si>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</si>
  <si>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</si>
  <si>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</si>
  <si>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</si>
  <si>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</si>
  <si>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</si>
  <si>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</si>
  <si>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</si>
  <si>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</si>
  <si>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</si>
  <si>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</si>
  <si>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</si>
  <si>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</si>
  <si>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</si>
  <si>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</si>
  <si>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</si>
  <si>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</si>
  <si>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</si>
  <si>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</si>
  <si>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</si>
  <si>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</si>
  <si>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</si>
  <si>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</si>
  <si>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</si>
  <si>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</si>
  <si>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</si>
  <si>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</si>
  <si>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</si>
  <si>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</si>
  <si>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</si>
  <si>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</si>
  <si>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</si>
  <si>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</si>
  <si>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</si>
  <si>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</si>
  <si>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</si>
  <si>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</si>
  <si>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</si>
  <si>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</si>
  <si>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</si>
  <si>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</si>
  <si>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</si>
  <si>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</si>
  <si>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</si>
  <si>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</si>
  <si>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</si>
  <si>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</si>
  <si>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</si>
  <si>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</si>
  <si>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</si>
  <si>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</si>
  <si>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</si>
  <si>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</si>
  <si>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</si>
  <si>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</si>
  <si>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</si>
  <si>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</si>
  <si>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</si>
  <si>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</si>
  <si>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</si>
  <si>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</si>
  <si>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</si>
  <si>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</si>
  <si>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</si>
  <si>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</si>
  <si>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</si>
  <si>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</si>
  <si>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</si>
  <si>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</si>
  <si>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</si>
  <si>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</si>
  <si>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</si>
  <si>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</si>
  <si>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</si>
  <si>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</si>
  <si>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</si>
  <si>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</si>
  <si>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</si>
  <si>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</si>
  <si>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</si>
  <si>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</si>
  <si>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</si>
  <si>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</si>
  <si>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</si>
  <si>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</si>
  <si>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</si>
  <si>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</si>
  <si>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</si>
  <si>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</si>
  <si>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</si>
  <si>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</si>
  <si>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</si>
  <si>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</si>
  <si>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</si>
  <si>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</si>
  <si>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</si>
  <si>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</si>
  <si>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</si>
  <si>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</si>
  <si>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</si>
  <si>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</si>
  <si>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</si>
  <si>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</si>
  <si>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</si>
  <si>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</si>
  <si>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</si>
  <si>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</si>
  <si>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</si>
  <si>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</si>
  <si>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</si>
  <si>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</si>
  <si>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</si>
  <si>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</si>
  <si>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</si>
  <si>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</si>
  <si>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</si>
  <si>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</si>
  <si>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</si>
  <si>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</si>
  <si>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</si>
  <si>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</si>
  <si>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</si>
  <si>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</si>
  <si>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</si>
  <si>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</si>
  <si>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</si>
  <si>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</si>
  <si>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</si>
  <si>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</si>
  <si>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</si>
  <si>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</si>
  <si>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</si>
  <si>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</si>
  <si>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</si>
  <si>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</si>
  <si>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</si>
  <si>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</si>
  <si>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</si>
  <si>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</si>
  <si>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</si>
  <si>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</si>
  <si>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</si>
  <si>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</si>
  <si>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</si>
  <si>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</si>
  <si>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</si>
  <si>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</si>
  <si>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</si>
  <si>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</si>
  <si>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</si>
  <si>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</si>
  <si>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</si>
  <si>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</si>
  <si>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</si>
  <si>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</si>
  <si>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</si>
  <si>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</si>
  <si>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</si>
  <si>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</si>
  <si>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</si>
  <si>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</si>
  <si>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</si>
  <si>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</si>
  <si>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</si>
  <si>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</si>
  <si>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</si>
  <si>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</si>
  <si>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</si>
  <si>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</si>
  <si>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</si>
  <si>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</si>
  <si>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</si>
  <si>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</si>
  <si>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</si>
  <si>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</si>
  <si>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</si>
  <si>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</si>
  <si>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</si>
  <si>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</si>
  <si>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</si>
  <si>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</si>
  <si>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</si>
  <si>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</si>
  <si>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</si>
  <si>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</si>
  <si>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</si>
  <si>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</si>
  <si>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</si>
  <si>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</si>
  <si>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</si>
  <si>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</si>
  <si>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</si>
  <si>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</si>
  <si>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</si>
  <si>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</si>
  <si>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</si>
  <si>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</si>
  <si>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</si>
  <si>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</si>
  <si>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</si>
  <si>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</si>
  <si>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</si>
  <si>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</si>
  <si>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</si>
  <si>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</si>
  <si>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</si>
  <si>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</si>
  <si>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</si>
  <si>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</si>
  <si>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</si>
  <si>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</si>
  <si>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</si>
  <si>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</si>
  <si>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</si>
  <si>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</si>
  <si>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</si>
  <si>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</si>
  <si>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</si>
  <si>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</si>
  <si>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</si>
  <si>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</si>
  <si>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</si>
  <si>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</si>
  <si>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</si>
  <si>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</si>
  <si>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</si>
  <si>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</si>
  <si>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</si>
  <si>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</si>
  <si>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</si>
  <si>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</si>
  <si>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</si>
  <si>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</si>
  <si>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</si>
  <si>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</si>
  <si>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</si>
  <si>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</si>
  <si>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</si>
  <si>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</si>
  <si>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</si>
  <si>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</si>
  <si>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</si>
  <si>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</si>
  <si>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</si>
  <si>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</si>
  <si>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</si>
  <si>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</si>
  <si>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</si>
  <si>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</si>
  <si>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</si>
  <si>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</si>
  <si>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</si>
  <si>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</si>
  <si>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</si>
  <si>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</si>
  <si>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</si>
  <si>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</si>
  <si>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</si>
  <si>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</si>
  <si>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</si>
  <si>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</si>
  <si>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</si>
  <si>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</si>
  <si>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</si>
  <si>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</si>
  <si>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</si>
  <si>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</si>
  <si>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</si>
  <si>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</si>
  <si>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</si>
  <si>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</si>
  <si>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</si>
  <si>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</si>
  <si>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</si>
  <si>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</si>
  <si>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</si>
  <si>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</si>
  <si>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</si>
  <si>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</si>
  <si>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</si>
  <si>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</si>
  <si>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</si>
  <si>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</si>
  <si>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</si>
  <si>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</si>
  <si>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</si>
  <si>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</si>
  <si>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</si>
  <si>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</si>
  <si>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</si>
  <si>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</si>
  <si>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</si>
  <si>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</si>
  <si>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</si>
  <si>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</si>
  <si>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</si>
  <si>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</si>
  <si>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</si>
  <si>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</si>
  <si>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</si>
  <si>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</si>
  <si>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</si>
  <si>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</si>
  <si>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</si>
  <si>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</si>
  <si>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</si>
  <si>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</si>
  <si>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</si>
  <si>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</si>
  <si>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</si>
  <si>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</si>
  <si>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</si>
  <si>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</si>
  <si>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</si>
  <si>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</si>
  <si>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</si>
  <si>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</si>
  <si>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</si>
  <si>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</si>
  <si>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</si>
  <si>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</si>
  <si>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</si>
  <si>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</si>
  <si>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</si>
  <si>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</si>
  <si>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</si>
  <si>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</si>
  <si>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</si>
  <si>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</si>
  <si>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</si>
  <si>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</si>
  <si>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</si>
  <si>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</si>
  <si>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</si>
  <si>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</si>
  <si>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</si>
  <si>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</si>
  <si>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</si>
  <si>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</si>
  <si>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</si>
  <si>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</si>
  <si>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</si>
  <si>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</si>
  <si>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</si>
  <si>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</si>
  <si>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</si>
  <si>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</si>
  <si>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 xml:space="preserve">Excmo. Cabildo Insular de Tenerife </t>
  </si>
  <si>
    <t>P3800001D</t>
  </si>
  <si>
    <t xml:space="preserve">Servicio Canario de Salud </t>
  </si>
  <si>
    <t>Q8555011I</t>
  </si>
  <si>
    <t>Subvención Cabildo Tenerife</t>
  </si>
  <si>
    <t>Dividendo pendiente pago</t>
  </si>
  <si>
    <t>no</t>
  </si>
  <si>
    <t xml:space="preserve">SISTEMA DE TELEDERMARTOLOGIA </t>
  </si>
  <si>
    <t>COLONOSCOPIA / GASTRONOOSCOPIA</t>
  </si>
  <si>
    <t>INSTITUTO MEDICO TINERFEÑO, S. A. (IMETISA)</t>
  </si>
  <si>
    <t>Dña. María Ana Franquet Navarro</t>
  </si>
  <si>
    <t>Dña. María Candelaria Ledesma Rodriguez</t>
  </si>
  <si>
    <t>Don Laureano Pérez Rodríguez</t>
  </si>
  <si>
    <t>Don José Clemente Díaz Gómez</t>
  </si>
  <si>
    <t>Don José Alberto León Alonso</t>
  </si>
  <si>
    <t>Dña. M. José Belda Díaz</t>
  </si>
  <si>
    <t>Dña. Juana María Reyes Melián</t>
  </si>
  <si>
    <t>Don Valentín González Évora</t>
  </si>
  <si>
    <t>Don Octavio Luis Jiménez Ramos</t>
  </si>
  <si>
    <t>Don José Ramón Martín Folgueras</t>
  </si>
  <si>
    <t>Pago de dividendos</t>
  </si>
  <si>
    <t>Variación de otros pasivos financieros (pago de dividendos)</t>
  </si>
  <si>
    <t>Vacante</t>
  </si>
  <si>
    <t>SERVICIO CANARIO DE SALUD</t>
  </si>
  <si>
    <t>Adquisición y cesión a Hospital Norte</t>
  </si>
  <si>
    <t>Estudio diagnóstico para personas con gran dependencia</t>
  </si>
  <si>
    <t>ABSIDE (servicios jurídicos)</t>
  </si>
  <si>
    <t>Costas procesales</t>
  </si>
  <si>
    <t>Liquidación IS 2013</t>
  </si>
  <si>
    <t>Ajuste por donación gratuita</t>
  </si>
  <si>
    <t>Ajuste por que la cesión es en especie de inmovilizado. Capítulo VII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</si>
</sst>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6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4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4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4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4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4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4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4" applyNumberFormat="1" applyFont="1" applyFill="1" applyBorder="1" applyAlignment="1" applyProtection="1">
      <alignment vertical="center"/>
      <protection locked="0"/>
    </xf>
    <xf numFmtId="4" fontId="91" fillId="33" borderId="57" xfId="54" applyNumberFormat="1" applyFont="1" applyFill="1" applyBorder="1" applyAlignment="1" applyProtection="1">
      <alignment vertical="center"/>
      <protection locked="0"/>
    </xf>
    <xf numFmtId="4" fontId="91" fillId="33" borderId="97" xfId="54" applyNumberFormat="1" applyFont="1" applyFill="1" applyBorder="1" applyAlignment="1" applyProtection="1">
      <alignment vertical="center"/>
      <protection locked="0"/>
    </xf>
    <xf numFmtId="4" fontId="91" fillId="33" borderId="58" xfId="54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2" fillId="43" borderId="213" xfId="52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0" fillId="33" borderId="216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7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0" fillId="33" borderId="221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2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100" fillId="33" borderId="80" xfId="0" applyNumberFormat="1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0" fillId="33" borderId="224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7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8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8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55" fillId="33" borderId="231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8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8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8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Resumen Person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7" t="s">
        <v>1001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2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2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43" t="s">
        <v>1065</v>
      </c>
      <c r="E13" s="1344"/>
      <c r="F13" s="1344"/>
      <c r="G13" s="1344"/>
      <c r="H13" s="1344"/>
      <c r="I13" s="1344"/>
      <c r="J13" s="1344"/>
      <c r="K13" s="1344"/>
      <c r="L13" s="1344"/>
      <c r="M13" s="1345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43" t="s">
        <v>944</v>
      </c>
      <c r="E14" s="1344"/>
      <c r="F14" s="1345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6"/>
      <c r="E16" s="1346"/>
      <c r="F16" s="1346"/>
      <c r="G16" s="1346"/>
      <c r="H16" s="1346"/>
      <c r="I16" s="1346"/>
      <c r="J16" s="1346"/>
      <c r="K16" s="1346"/>
      <c r="L16" s="1346"/>
      <c r="M16" s="1346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1014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">
      <selection activeCell="F86" sqref="F8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2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2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787268.7600000005</v>
      </c>
      <c r="G16" s="554">
        <f>'FC-3_CPyG'!F76</f>
        <v>822995.1399999998</v>
      </c>
      <c r="H16" s="554">
        <f>'FC-3_CPyG'!G76</f>
        <v>561006.6799999999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787268.7600000005</v>
      </c>
      <c r="G42" s="399">
        <f>G16+G17+G29+G36</f>
        <v>822995.1399999998</v>
      </c>
      <c r="H42" s="399">
        <f>H16+H17+H29+H36</f>
        <v>561006.6799999999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1339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983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787268.7600000005</v>
      </c>
      <c r="G92" s="399">
        <f>+G42+G63+G88+G90</f>
        <v>822995.1399999998</v>
      </c>
      <c r="H92" s="399">
        <f>+H42+H63+H88+H90</f>
        <v>561006.6799999999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3784097.67</v>
      </c>
      <c r="G94" s="403">
        <f>+F95</f>
        <v>4487822.7</v>
      </c>
      <c r="H94" s="403">
        <f>+G95</f>
        <v>4825835.49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4487822.7</v>
      </c>
      <c r="G95" s="399">
        <f>+'FC-4_ACTIVO'!F90</f>
        <v>4825835.49</v>
      </c>
      <c r="H95" s="399">
        <f>+'FC-4_ACTIVO'!G90</f>
        <v>4405667.7700000005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5"/>
      <c r="D100" s="1355"/>
      <c r="E100" s="1355"/>
      <c r="F100" s="1355"/>
      <c r="G100" s="1355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I16" sqref="I1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2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2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7" t="s">
        <v>738</v>
      </c>
      <c r="J13" s="1408"/>
      <c r="K13" s="1408"/>
      <c r="L13" s="1408"/>
      <c r="M13" s="1409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>
        <v>1</v>
      </c>
      <c r="D16" s="1225" t="s">
        <v>1063</v>
      </c>
      <c r="E16" s="475">
        <v>2020</v>
      </c>
      <c r="F16" s="475">
        <v>2020</v>
      </c>
      <c r="G16" s="476">
        <v>303525</v>
      </c>
      <c r="H16" s="476"/>
      <c r="I16" s="476">
        <v>303525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>
        <v>2</v>
      </c>
      <c r="D17" s="1226" t="s">
        <v>1064</v>
      </c>
      <c r="E17" s="479">
        <v>2021</v>
      </c>
      <c r="F17" s="479">
        <v>2021</v>
      </c>
      <c r="G17" s="480">
        <v>180000</v>
      </c>
      <c r="H17" s="480"/>
      <c r="I17" s="480"/>
      <c r="J17" s="480">
        <v>180000</v>
      </c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0" t="s">
        <v>384</v>
      </c>
      <c r="D46" s="1411"/>
      <c r="E46" s="125">
        <f>MIN(E16:E45)</f>
        <v>2020</v>
      </c>
      <c r="F46" s="125">
        <f>MAX(F16:F45)</f>
        <v>2021</v>
      </c>
      <c r="G46" s="126">
        <f aca="true" t="shared" si="0" ref="G46:R46">SUM(G16:G45)</f>
        <v>483525</v>
      </c>
      <c r="H46" s="126">
        <f t="shared" si="0"/>
        <v>0</v>
      </c>
      <c r="I46" s="126">
        <f t="shared" si="0"/>
        <v>303525</v>
      </c>
      <c r="J46" s="126">
        <f t="shared" si="0"/>
        <v>180000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5"/>
      <c r="D55" s="1355"/>
      <c r="E55" s="1355"/>
      <c r="F55" s="13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1">
      <selection activeCell="O28" sqref="O2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2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2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2"/>
      <c r="D13" s="1413"/>
      <c r="E13" s="197" t="s">
        <v>406</v>
      </c>
      <c r="F13" s="1416" t="s">
        <v>396</v>
      </c>
      <c r="G13" s="1417"/>
      <c r="H13" s="1417"/>
      <c r="I13" s="1417"/>
      <c r="J13" s="1417"/>
      <c r="K13" s="1417"/>
      <c r="L13" s="1418"/>
      <c r="M13" s="197" t="s">
        <v>407</v>
      </c>
      <c r="N13" s="197"/>
      <c r="O13" s="1414" t="s">
        <v>1021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1020</v>
      </c>
      <c r="O14" s="1415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6300.16</v>
      </c>
      <c r="F15" s="482"/>
      <c r="G15" s="483"/>
      <c r="H15" s="483"/>
      <c r="I15" s="483"/>
      <c r="J15" s="483"/>
      <c r="K15" s="483"/>
      <c r="L15" s="484"/>
      <c r="M15" s="172">
        <f>SUM(E15:L15)</f>
        <v>6300.16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9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6851034.18</v>
      </c>
      <c r="F17" s="486"/>
      <c r="G17" s="487"/>
      <c r="H17" s="487"/>
      <c r="I17" s="487">
        <v>-331103.83</v>
      </c>
      <c r="J17" s="487"/>
      <c r="K17" s="487"/>
      <c r="L17" s="488"/>
      <c r="M17" s="176">
        <f>SUM(E17:L17)</f>
        <v>6519930.35</v>
      </c>
      <c r="N17" s="1299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9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0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6857334.34</v>
      </c>
      <c r="F20" s="175">
        <f aca="true" t="shared" si="0" ref="F20:N20">SUM(F15:F19)</f>
        <v>0</v>
      </c>
      <c r="G20" s="175">
        <f t="shared" si="0"/>
        <v>0</v>
      </c>
      <c r="H20" s="175">
        <f t="shared" si="0"/>
        <v>0</v>
      </c>
      <c r="I20" s="175">
        <f t="shared" si="0"/>
        <v>-331103.83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6526230.51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6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2"/>
      <c r="D24" s="1413"/>
      <c r="E24" s="197" t="s">
        <v>406</v>
      </c>
      <c r="F24" s="1416" t="s">
        <v>396</v>
      </c>
      <c r="G24" s="1417"/>
      <c r="H24" s="1417"/>
      <c r="I24" s="1417"/>
      <c r="J24" s="1417"/>
      <c r="K24" s="1417"/>
      <c r="L24" s="1418"/>
      <c r="M24" s="197" t="s">
        <v>407</v>
      </c>
      <c r="N24" s="197"/>
      <c r="O24" s="1414" t="s">
        <v>1021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1020</v>
      </c>
      <c r="O25" s="1415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6300.16</v>
      </c>
      <c r="F26" s="482"/>
      <c r="G26" s="483"/>
      <c r="H26" s="483"/>
      <c r="I26" s="483">
        <v>-1575.04</v>
      </c>
      <c r="J26" s="483"/>
      <c r="K26" s="483"/>
      <c r="L26" s="484"/>
      <c r="M26" s="172">
        <f>SUM(E26:L26)</f>
        <v>4725.12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9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6519930.35</v>
      </c>
      <c r="F28" s="486">
        <v>303525</v>
      </c>
      <c r="G28" s="487"/>
      <c r="H28" s="487"/>
      <c r="I28" s="487">
        <f>-331103.83+1575.04</f>
        <v>-329528.79000000004</v>
      </c>
      <c r="J28" s="487"/>
      <c r="K28" s="487">
        <v>-303525</v>
      </c>
      <c r="L28" s="488"/>
      <c r="M28" s="176">
        <f>SUM(E28:L28)</f>
        <v>6190401.56</v>
      </c>
      <c r="N28" s="1299"/>
      <c r="O28" s="1227" t="s">
        <v>1080</v>
      </c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9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0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6526230.51</v>
      </c>
      <c r="F31" s="175">
        <f>SUM(F26:F30)</f>
        <v>303525</v>
      </c>
      <c r="G31" s="175">
        <f>SUM(G26:G30)</f>
        <v>0</v>
      </c>
      <c r="H31" s="175">
        <f>SUM(H26:H30)</f>
        <v>0</v>
      </c>
      <c r="I31" s="175">
        <f>SUM(I26:I30)</f>
        <v>-331103.83</v>
      </c>
      <c r="J31" s="175">
        <f>SUM(J26:J30)</f>
        <v>0</v>
      </c>
      <c r="K31" s="175">
        <f>SUM(K26:K30)</f>
        <v>-303525</v>
      </c>
      <c r="L31" s="175">
        <f>SUM(L26:L30)</f>
        <v>0</v>
      </c>
      <c r="M31" s="175">
        <f>SUM(M26:M30)</f>
        <v>6195126.68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6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1023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1022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5"/>
      <c r="D47" s="1355"/>
      <c r="E47" s="1355"/>
      <c r="F47" s="1355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13">
      <selection activeCell="C63" sqref="C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2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2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356"/>
      <c r="K9" s="1356"/>
      <c r="L9" s="1356"/>
      <c r="M9" s="1356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7"/>
      <c r="D12" s="1427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6" t="s">
        <v>396</v>
      </c>
      <c r="H15" s="1417"/>
      <c r="I15" s="1417"/>
      <c r="J15" s="197" t="s">
        <v>407</v>
      </c>
      <c r="K15" s="197" t="s">
        <v>416</v>
      </c>
      <c r="L15" s="197" t="s">
        <v>417</v>
      </c>
      <c r="M15" s="1414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5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8" t="s">
        <v>418</v>
      </c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5"/>
      <c r="D18" s="1426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9"/>
      <c r="D19" s="1420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9"/>
      <c r="D20" s="1420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9"/>
      <c r="D21" s="1420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9"/>
      <c r="D22" s="1420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9"/>
      <c r="D23" s="1420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9" t="s">
        <v>419</v>
      </c>
      <c r="D26" s="1429"/>
      <c r="E26" s="1429"/>
      <c r="F26" s="1429"/>
      <c r="G26" s="1429"/>
      <c r="H26" s="1429"/>
      <c r="I26" s="1429"/>
      <c r="J26" s="1429"/>
      <c r="K26" s="1429"/>
      <c r="L26" s="1429"/>
      <c r="M26" s="1429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5"/>
      <c r="D27" s="1430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3"/>
      <c r="D28" s="1424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3"/>
      <c r="D29" s="1424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3"/>
      <c r="D30" s="1424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9"/>
      <c r="D31" s="1420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9"/>
      <c r="D32" s="1420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1"/>
      <c r="D33" s="1422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6" t="s">
        <v>396</v>
      </c>
      <c r="H39" s="1417"/>
      <c r="I39" s="1417"/>
      <c r="J39" s="197" t="s">
        <v>407</v>
      </c>
      <c r="K39" s="197" t="s">
        <v>416</v>
      </c>
      <c r="L39" s="197" t="s">
        <v>417</v>
      </c>
      <c r="M39" s="1414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5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8" t="s">
        <v>422</v>
      </c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5"/>
      <c r="D42" s="1426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9"/>
      <c r="D43" s="1420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9"/>
      <c r="D44" s="1420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9"/>
      <c r="D45" s="1420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9"/>
      <c r="D46" s="1420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9"/>
      <c r="D47" s="1420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1"/>
      <c r="D48" s="1422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9" t="s">
        <v>423</v>
      </c>
      <c r="D50" s="1429"/>
      <c r="E50" s="1429"/>
      <c r="F50" s="1429"/>
      <c r="G50" s="1429"/>
      <c r="H50" s="1429"/>
      <c r="I50" s="1429"/>
      <c r="J50" s="1429"/>
      <c r="K50" s="1429"/>
      <c r="L50" s="1429"/>
      <c r="M50" s="1429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3"/>
      <c r="D51" s="1424"/>
      <c r="E51" s="833"/>
      <c r="F51" s="493"/>
      <c r="G51" s="494"/>
      <c r="H51" s="494"/>
      <c r="I51" s="494"/>
      <c r="J51" s="184">
        <f aca="true" t="shared" si="3" ref="J51:J57">SUM(F51:I51)</f>
        <v>0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3"/>
      <c r="D52" s="1424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9"/>
      <c r="D53" s="1420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9"/>
      <c r="D54" s="1420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9"/>
      <c r="D55" s="1420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9"/>
      <c r="D56" s="1420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1"/>
      <c r="D57" s="1422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5"/>
      <c r="D71" s="1355"/>
      <c r="E71" s="1355"/>
      <c r="F71" s="1355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125" zoomScaleNormal="125" zoomScalePageLayoutView="125" workbookViewId="0" topLeftCell="A7">
      <selection activeCell="F21" sqref="F2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2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2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7"/>
      <c r="D12" s="142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1"/>
      <c r="D15" s="1432"/>
      <c r="E15" s="946"/>
      <c r="F15" s="1444" t="s">
        <v>816</v>
      </c>
      <c r="G15" s="1445"/>
      <c r="H15" s="1445"/>
      <c r="I15" s="1445"/>
      <c r="J15" s="1445"/>
      <c r="K15" s="1446"/>
      <c r="L15" s="1441" t="s">
        <v>814</v>
      </c>
      <c r="M15" s="1440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53" t="s">
        <v>779</v>
      </c>
      <c r="D16" s="1454"/>
      <c r="E16" s="947"/>
      <c r="F16" s="948" t="s">
        <v>813</v>
      </c>
      <c r="G16" s="1435">
        <f>ejercicio-1</f>
        <v>2019</v>
      </c>
      <c r="H16" s="1436"/>
      <c r="I16" s="949" t="s">
        <v>813</v>
      </c>
      <c r="J16" s="1435">
        <f>ejercicio</f>
        <v>2020</v>
      </c>
      <c r="K16" s="1436"/>
      <c r="L16" s="1442" t="s">
        <v>815</v>
      </c>
      <c r="M16" s="1443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7" t="s">
        <v>780</v>
      </c>
      <c r="D17" s="1448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9" t="s">
        <v>388</v>
      </c>
      <c r="D19" s="1450"/>
      <c r="E19" s="1450"/>
      <c r="F19" s="943">
        <f>G19+H19</f>
        <v>160000</v>
      </c>
      <c r="G19" s="510">
        <v>160000</v>
      </c>
      <c r="H19" s="931"/>
      <c r="I19" s="943">
        <f>+J19+K19</f>
        <v>160000</v>
      </c>
      <c r="J19" s="510">
        <v>160000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 t="s">
        <v>1060</v>
      </c>
      <c r="D21" s="561"/>
      <c r="E21" s="1229"/>
      <c r="F21" s="924">
        <v>160000</v>
      </c>
      <c r="G21" s="482">
        <v>160000</v>
      </c>
      <c r="H21" s="932"/>
      <c r="I21" s="888"/>
      <c r="J21" s="888"/>
      <c r="K21" s="938"/>
      <c r="L21" s="888">
        <v>160000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160000</v>
      </c>
      <c r="G31" s="674">
        <f t="shared" si="0"/>
        <v>160000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160000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1" t="s">
        <v>440</v>
      </c>
      <c r="D33" s="1452"/>
      <c r="E33" s="1452"/>
      <c r="F33" s="943">
        <f>G33+H33</f>
        <v>-160000</v>
      </c>
      <c r="G33" s="921">
        <v>-160000</v>
      </c>
      <c r="H33" s="937"/>
      <c r="I33" s="943">
        <f>+J33+K33</f>
        <v>-160000</v>
      </c>
      <c r="J33" s="921">
        <v>-160000</v>
      </c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160000</v>
      </c>
      <c r="G34" s="674">
        <f>+G19+G31+G33</f>
        <v>160000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1" t="s">
        <v>779</v>
      </c>
      <c r="D37" s="1432"/>
      <c r="E37" s="1439" t="s">
        <v>434</v>
      </c>
      <c r="F37" s="1440"/>
      <c r="G37" s="1437" t="s">
        <v>786</v>
      </c>
      <c r="H37" s="1438"/>
      <c r="I37" s="1437" t="s">
        <v>787</v>
      </c>
      <c r="J37" s="1438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7" t="s">
        <v>780</v>
      </c>
      <c r="D38" s="1448"/>
      <c r="E38" s="1433" t="s">
        <v>1007</v>
      </c>
      <c r="F38" s="1434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1"/>
      <c r="V38" s="126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/>
      <c r="D39" s="561"/>
      <c r="E39" s="1252"/>
      <c r="F39" s="1251"/>
      <c r="G39" s="482"/>
      <c r="H39" s="515"/>
      <c r="I39" s="888"/>
      <c r="J39" s="888"/>
      <c r="K39" s="837"/>
      <c r="L39" s="837"/>
      <c r="M39" s="838"/>
      <c r="N39" s="920"/>
      <c r="O39" s="920"/>
      <c r="P39" s="920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9"/>
      <c r="D40" s="1250"/>
      <c r="E40" s="1252"/>
      <c r="F40" s="1262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9"/>
      <c r="D41" s="1250"/>
      <c r="E41" s="1252"/>
      <c r="F41" s="1262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2"/>
      <c r="F42" s="1253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3"/>
      <c r="G43" s="1257"/>
      <c r="H43" s="515"/>
      <c r="I43" s="1258"/>
      <c r="J43" s="1258"/>
      <c r="K43" s="1259"/>
      <c r="L43" s="1259"/>
      <c r="M43" s="1260"/>
      <c r="N43" s="920"/>
      <c r="O43" s="920"/>
      <c r="P43" s="920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2"/>
      <c r="F44" s="1254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2"/>
      <c r="F45" s="1254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6"/>
      <c r="F46" s="1255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7" t="s">
        <v>439</v>
      </c>
      <c r="D47" s="1458"/>
      <c r="E47" s="1458"/>
      <c r="F47" s="1459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3" t="s">
        <v>1010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31" t="s">
        <v>779</v>
      </c>
      <c r="D51" s="1432"/>
      <c r="E51" s="1439"/>
      <c r="F51" s="1440"/>
      <c r="G51" s="1437" t="s">
        <v>788</v>
      </c>
      <c r="H51" s="1438"/>
      <c r="I51" s="1437" t="s">
        <v>789</v>
      </c>
      <c r="J51" s="1438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7" t="s">
        <v>780</v>
      </c>
      <c r="D52" s="1448"/>
      <c r="E52" s="1435" t="s">
        <v>434</v>
      </c>
      <c r="F52" s="1443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/>
      <c r="D53" s="561"/>
      <c r="E53" s="1455"/>
      <c r="F53" s="1456"/>
      <c r="G53" s="482"/>
      <c r="H53" s="511"/>
      <c r="I53" s="888"/>
      <c r="J53" s="888"/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60"/>
      <c r="F54" s="1461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62"/>
      <c r="F55" s="1463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62"/>
      <c r="F56" s="1463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62"/>
      <c r="F57" s="1463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62"/>
      <c r="F58" s="1463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60"/>
      <c r="F59" s="1461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60"/>
      <c r="F60" s="1461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60"/>
      <c r="F61" s="1461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4"/>
      <c r="F62" s="1465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7" t="s">
        <v>439</v>
      </c>
      <c r="D63" s="1458"/>
      <c r="E63" s="1458"/>
      <c r="F63" s="1459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6" t="s">
        <v>779</v>
      </c>
      <c r="D66" s="1418"/>
      <c r="E66" s="1437" t="s">
        <v>434</v>
      </c>
      <c r="F66" s="1438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60"/>
      <c r="F67" s="1461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60"/>
      <c r="F68" s="1461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60"/>
      <c r="F69" s="1461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60"/>
      <c r="F70" s="1461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60"/>
      <c r="F71" s="1461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60"/>
      <c r="F72" s="1461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60"/>
      <c r="F73" s="1461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60"/>
      <c r="F74" s="1461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60"/>
      <c r="F75" s="1461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60"/>
      <c r="F76" s="1461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7" t="s">
        <v>803</v>
      </c>
      <c r="D77" s="1458"/>
      <c r="E77" s="1458"/>
      <c r="F77" s="1459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2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3" t="s">
        <v>795</v>
      </c>
      <c r="D91" s="1282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3" t="s">
        <v>793</v>
      </c>
      <c r="D92" s="1282"/>
      <c r="E92" s="696"/>
      <c r="F92" s="696"/>
      <c r="G92" s="1281">
        <f>ejercicio-1</f>
        <v>2019</v>
      </c>
      <c r="H92" s="696" t="s">
        <v>794</v>
      </c>
      <c r="I92" s="696"/>
      <c r="J92" s="696"/>
      <c r="K92" s="1281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3" t="s">
        <v>797</v>
      </c>
      <c r="D93" s="1282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2" t="s">
        <v>796</v>
      </c>
      <c r="D94" s="1282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3" t="s">
        <v>798</v>
      </c>
      <c r="D95" s="1282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2" t="s">
        <v>784</v>
      </c>
      <c r="D96" s="1282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2" t="s">
        <v>804</v>
      </c>
      <c r="D97" s="1282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2" t="s">
        <v>785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3" t="s">
        <v>799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3" t="s">
        <v>806</v>
      </c>
      <c r="D100" s="1282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2" t="s">
        <v>790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3" t="s">
        <v>800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89" customFormat="1" ht="18">
      <c r="B103" s="1284"/>
      <c r="C103" s="1285" t="s">
        <v>805</v>
      </c>
      <c r="D103" s="1286"/>
      <c r="E103" s="1287"/>
      <c r="F103" s="1287"/>
      <c r="G103" s="1287"/>
      <c r="H103" s="1287"/>
      <c r="I103" s="1287"/>
      <c r="J103" s="1287"/>
      <c r="K103" s="1287"/>
      <c r="L103" s="1287"/>
      <c r="M103" s="1287"/>
      <c r="N103" s="1287"/>
      <c r="O103" s="1287"/>
      <c r="P103" s="1288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2" t="s">
        <v>791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3" t="s">
        <v>801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2" t="s">
        <v>792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9"/>
      <c r="D107" s="1349"/>
      <c r="E107" s="1349"/>
      <c r="F107" s="1349"/>
      <c r="G107" s="1349"/>
      <c r="H107" s="1268"/>
      <c r="I107" s="1268"/>
      <c r="J107" s="1268"/>
      <c r="K107" s="1268"/>
      <c r="L107" s="1268"/>
      <c r="M107" s="1268"/>
      <c r="N107" s="1268"/>
      <c r="O107" s="1268"/>
      <c r="P107" s="1269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0" t="s">
        <v>1008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G45">
      <selection activeCell="L75" sqref="L75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8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8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50" t="str">
        <f>Entidad</f>
        <v>INSTITUTO MEDICO TINERFEÑO, S. A. (IMETISA)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1350"/>
      <c r="Q9" s="1350"/>
      <c r="R9" s="1350"/>
      <c r="S9" s="1350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63"/>
      <c r="D12" s="1363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988</v>
      </c>
      <c r="O16" s="994" t="s">
        <v>989</v>
      </c>
      <c r="P16" s="997" t="s">
        <v>990</v>
      </c>
      <c r="Q16" s="994" t="s">
        <v>667</v>
      </c>
      <c r="R16" s="1466" t="s">
        <v>991</v>
      </c>
      <c r="S16" s="1467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987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 aca="true" t="shared" si="0" ref="Q19:Q42"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t="shared" si="0"/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8" t="s">
        <v>471</v>
      </c>
      <c r="I43" s="1469"/>
      <c r="J43" s="1470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988</v>
      </c>
      <c r="O48" s="994" t="s">
        <v>989</v>
      </c>
      <c r="P48" s="997" t="s">
        <v>990</v>
      </c>
      <c r="Q48" s="994" t="s">
        <v>667</v>
      </c>
      <c r="R48" s="1466" t="s">
        <v>991</v>
      </c>
      <c r="S48" s="1467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987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>
        <v>1</v>
      </c>
      <c r="D50" s="956" t="s">
        <v>1061</v>
      </c>
      <c r="E50" s="578"/>
      <c r="F50" s="578"/>
      <c r="G50" s="442" t="s">
        <v>1056</v>
      </c>
      <c r="H50" s="578" t="s">
        <v>287</v>
      </c>
      <c r="I50" s="1232" t="s">
        <v>1062</v>
      </c>
      <c r="J50" s="789"/>
      <c r="K50" s="586">
        <f>600315.56*0.9</f>
        <v>540284.0040000001</v>
      </c>
      <c r="L50" s="586">
        <f>600315.56*0.9</f>
        <v>540284.0040000001</v>
      </c>
      <c r="M50" s="790"/>
      <c r="N50" s="790">
        <f>600315.56*0.9</f>
        <v>540284.0040000001</v>
      </c>
      <c r="O50" s="790"/>
      <c r="P50" s="719"/>
      <c r="Q50" s="1011">
        <f>L50+M50-N50</f>
        <v>0</v>
      </c>
      <c r="R50" s="849"/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>
        <v>1</v>
      </c>
      <c r="D51" s="956" t="s">
        <v>1061</v>
      </c>
      <c r="E51" s="578"/>
      <c r="F51" s="578"/>
      <c r="G51" s="446" t="s">
        <v>1058</v>
      </c>
      <c r="H51" s="578" t="s">
        <v>287</v>
      </c>
      <c r="I51" s="1232" t="s">
        <v>1062</v>
      </c>
      <c r="J51" s="1232"/>
      <c r="K51" s="586">
        <f>600315.56*0.1</f>
        <v>60031.55600000001</v>
      </c>
      <c r="L51" s="586">
        <f>600315.56*0.1</f>
        <v>60031.55600000001</v>
      </c>
      <c r="M51" s="586"/>
      <c r="N51" s="790">
        <f>600315.56*0.1</f>
        <v>60031.55600000001</v>
      </c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8" t="s">
        <v>471</v>
      </c>
      <c r="I75" s="1469"/>
      <c r="J75" s="1470"/>
      <c r="K75" s="1005">
        <f>SUM(K50:K74)</f>
        <v>600315.56</v>
      </c>
      <c r="L75" s="1006">
        <f>SUM(L50:L74)</f>
        <v>600315.56</v>
      </c>
      <c r="M75" s="1007">
        <f>SUM(M50:M74)</f>
        <v>0</v>
      </c>
      <c r="N75" s="1007">
        <f>SUM(N50:N74)</f>
        <v>600315.56</v>
      </c>
      <c r="O75" s="1005">
        <f>SUM(O50:O74)</f>
        <v>0</v>
      </c>
      <c r="P75" s="1005">
        <f>SUM(P50:P74)</f>
        <v>0</v>
      </c>
      <c r="Q75" s="1008">
        <f>SUM(Q50:Q74)</f>
        <v>0</v>
      </c>
      <c r="R75" s="1007">
        <f>SUM(R50:R74)</f>
        <v>0</v>
      </c>
      <c r="S75" s="674">
        <f>SUM(S50:S74)</f>
        <v>0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988</v>
      </c>
      <c r="O80" s="994" t="s">
        <v>989</v>
      </c>
      <c r="P80" s="997" t="s">
        <v>990</v>
      </c>
      <c r="Q80" s="994" t="s">
        <v>667</v>
      </c>
      <c r="R80" s="1466" t="s">
        <v>991</v>
      </c>
      <c r="S80" s="1467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987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11">
        <f>L82+M82-N82</f>
        <v>0</v>
      </c>
      <c r="R82" s="849"/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2">
        <f aca="true" t="shared" si="3" ref="Q83:Q106">L83+M83-N83</f>
        <v>0</v>
      </c>
      <c r="R83" s="851"/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t="shared" si="3"/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8" t="s">
        <v>471</v>
      </c>
      <c r="I107" s="1469"/>
      <c r="J107" s="1470"/>
      <c r="K107" s="1005">
        <f>SUM(K82:K106)</f>
        <v>0</v>
      </c>
      <c r="L107" s="1006">
        <f>SUM(L82:L106)</f>
        <v>0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0</v>
      </c>
      <c r="R107" s="1007">
        <f>SUM(R82:R106)</f>
        <v>0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992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993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994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995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996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9"/>
      <c r="D120" s="1349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8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2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2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7"/>
      <c r="D12" s="1427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1" t="s">
        <v>449</v>
      </c>
      <c r="H13" s="1472"/>
      <c r="I13" s="1473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4" t="s">
        <v>443</v>
      </c>
      <c r="D15" s="1475"/>
      <c r="E15" s="1476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7"/>
      <c r="D25" s="1477"/>
      <c r="E25" s="1477"/>
      <c r="F25" s="1477"/>
      <c r="G25" s="1477"/>
      <c r="H25" s="1477"/>
      <c r="I25" s="1477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7"/>
      <c r="D29" s="1477"/>
      <c r="E29" s="1477"/>
      <c r="F29" s="1477"/>
      <c r="G29" s="1477"/>
      <c r="H29" s="1477"/>
      <c r="I29" s="1477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5"/>
      <c r="D36" s="1355"/>
      <c r="E36" s="1355"/>
      <c r="F36" s="1355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4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2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2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7"/>
      <c r="D12" s="142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8" t="s">
        <v>461</v>
      </c>
      <c r="F13" s="1479"/>
      <c r="G13" s="1479"/>
      <c r="H13" s="1479"/>
      <c r="I13" s="1479"/>
      <c r="J13" s="1479"/>
      <c r="K13" s="1479"/>
      <c r="L13" s="1479"/>
      <c r="M13" s="1479"/>
      <c r="N13" s="1480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4" t="s">
        <v>443</v>
      </c>
      <c r="D14" s="1475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5"/>
      <c r="D24" s="1355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5">
      <selection activeCell="E43" sqref="E4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2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2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6" t="str">
        <f>Entidad</f>
        <v>INSTITUTO MEDICO TINERFEÑO, S. A. (IMETISA)</v>
      </c>
      <c r="F9" s="1356"/>
      <c r="G9" s="1356"/>
      <c r="H9" s="1356"/>
      <c r="I9" s="1356"/>
      <c r="J9" s="1356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7"/>
      <c r="D12" s="1427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16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1067164.49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6" t="s">
        <v>503</v>
      </c>
      <c r="G36" s="1417"/>
      <c r="H36" s="1417"/>
      <c r="I36" s="1417"/>
      <c r="J36" s="1418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3" t="s">
        <v>485</v>
      </c>
      <c r="D37" s="1454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7" t="s">
        <v>61</v>
      </c>
      <c r="D38" s="1448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37616.7</v>
      </c>
      <c r="G40" s="581"/>
      <c r="H40" s="581"/>
      <c r="I40" s="581">
        <v>26840.62</v>
      </c>
      <c r="J40" s="591">
        <f>SUM(F40:I40)</f>
        <v>64457.31999999999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13</v>
      </c>
      <c r="F42" s="1338">
        <v>136706.64</v>
      </c>
      <c r="G42" s="581"/>
      <c r="H42" s="581"/>
      <c r="I42" s="1338">
        <v>589536.9</v>
      </c>
      <c r="J42" s="591">
        <f>SUM(F42:I42)</f>
        <v>726243.54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2</v>
      </c>
      <c r="F43" s="1338">
        <v>18812.28</v>
      </c>
      <c r="G43" s="581"/>
      <c r="H43" s="581"/>
      <c r="I43" s="1338">
        <v>48510.38</v>
      </c>
      <c r="J43" s="591">
        <f>SUM(F43:I43)</f>
        <v>67322.66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1" t="s">
        <v>505</v>
      </c>
      <c r="D45" s="1482"/>
      <c r="E45" s="272">
        <f aca="true" t="shared" si="0" ref="E45:J45">SUM(E39:E44)</f>
        <v>16</v>
      </c>
      <c r="F45" s="272">
        <f t="shared" si="0"/>
        <v>193135.62000000002</v>
      </c>
      <c r="G45" s="272">
        <f t="shared" si="0"/>
        <v>0</v>
      </c>
      <c r="H45" s="272">
        <f t="shared" si="0"/>
        <v>0</v>
      </c>
      <c r="I45" s="272">
        <f t="shared" si="0"/>
        <v>664887.9</v>
      </c>
      <c r="J45" s="272">
        <f t="shared" si="0"/>
        <v>858023.52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6" t="s">
        <v>443</v>
      </c>
      <c r="D50" s="1417"/>
      <c r="E50" s="1483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209140.97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1" t="s">
        <v>505</v>
      </c>
      <c r="D53" s="1484"/>
      <c r="E53" s="273"/>
      <c r="F53" s="272">
        <f>SUM(F51:F52)</f>
        <v>209140.97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5"/>
      <c r="E65" s="1355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8">
      <selection activeCell="D2" sqref="D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8" t="s">
        <v>1001</v>
      </c>
    </row>
    <row r="3" ht="22.5" customHeight="1">
      <c r="D3" s="1248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2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2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356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7"/>
      <c r="D12" s="1427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7" t="s">
        <v>513</v>
      </c>
      <c r="D13" s="1488"/>
      <c r="E13" s="1488"/>
      <c r="F13" s="1488"/>
      <c r="G13" s="1488"/>
      <c r="H13" s="1489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6" t="s">
        <v>516</v>
      </c>
      <c r="D15" s="1417"/>
      <c r="E15" s="1418"/>
      <c r="F15" s="151"/>
      <c r="G15" s="1416" t="s">
        <v>517</v>
      </c>
      <c r="H15" s="1418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6" t="s">
        <v>434</v>
      </c>
      <c r="D16" s="1418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5" t="s">
        <v>471</v>
      </c>
      <c r="D56" s="1486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7" t="s">
        <v>778</v>
      </c>
      <c r="D58" s="1488"/>
      <c r="E58" s="1488"/>
      <c r="F58" s="1488"/>
      <c r="G58" s="1488"/>
      <c r="H58" s="1489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7" t="s">
        <v>513</v>
      </c>
      <c r="D60" s="1488"/>
      <c r="E60" s="1488"/>
      <c r="F60" s="1488"/>
      <c r="G60" s="1488"/>
      <c r="H60" s="1489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6" t="s">
        <v>516</v>
      </c>
      <c r="D62" s="1417"/>
      <c r="E62" s="1418"/>
      <c r="F62" s="151"/>
      <c r="G62" s="1416" t="s">
        <v>517</v>
      </c>
      <c r="H62" s="1418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6" t="s">
        <v>434</v>
      </c>
      <c r="D63" s="1418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5" t="s">
        <v>471</v>
      </c>
      <c r="D69" s="1486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5"/>
      <c r="D75" s="1355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tabSelected="1" zoomScale="58" zoomScaleNormal="58" zoomScalePageLayoutView="0" workbookViewId="0" topLeftCell="A1">
      <pane ySplit="14" topLeftCell="A15" activePane="bottomLeft" state="frozen"/>
      <selection pane="topLeft" activeCell="A1" sqref="A1"/>
      <selection pane="bottomLeft" activeCell="G38" sqref="G38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2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2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7" t="str">
        <f>Entidad</f>
        <v>INSTITUTO MEDICO TINERFEÑO, S. A. (IMETISA)</v>
      </c>
      <c r="E9" s="1347"/>
      <c r="F9" s="1347"/>
      <c r="G9" s="1347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IF(ROUND('FC-3_CPyG'!E28-'FC-3_1_INF_ADIC_CPyG'!E75,2)=0,"Ok","Mal, revísa datos en FC-3 y FC-3.1")</f>
        <v>Ok</v>
      </c>
      <c r="F20" s="864" t="str">
        <f>IF(ROUND('FC-3_CPyG'!F28-'FC-3_1_INF_ADIC_CPyG'!F75,2)=0,"Ok","Mal, revísa datos en FC-3 y FC-3.1")</f>
        <v>Ok</v>
      </c>
      <c r="G20" s="864" t="str">
        <f>IF(ROUND('FC-3_CPyG'!G28-'FC-3_1_INF_ADIC_CPyG'!G75,2)=0,"Ok","Mal,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IF(ROUND('FC-3_CPyG'!E29-'FC-3_1_INF_ADIC_CPyG'!E79,2)=0,"Ok","Mal, revisa datos en FC-3 CPyG y FC-3.1")</f>
        <v>Ok</v>
      </c>
      <c r="F21" s="864" t="str">
        <f>IF(ROUND('FC-3_CPyG'!F29-'FC-3_1_INF_ADIC_CPyG'!F79,2)=0,"Ok","Mal, revisa datos en FC-3 CPyG y FC-3.1")</f>
        <v>Ok</v>
      </c>
      <c r="G21" s="864" t="str">
        <f>IF(ROUND('FC-3_CPyG'!G29-'FC-3_1_INF_ADIC_CPyG'!G79,2)=0,"Ok","Mal,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1009</v>
      </c>
      <c r="D47" s="863"/>
      <c r="E47" s="866"/>
      <c r="F47" s="864" t="str">
        <f>IF(ROUND('FC-3_1_INF_ADIC_CPyG'!F83-'FC-9_TRANS_SUBV'!G48,2)=0,"Ok","Mal, revisa dato en FC-3_1 y FC-9")</f>
        <v>Ok</v>
      </c>
      <c r="G47" s="864" t="str">
        <f>IF(ROUND('FC-3_1_INF_ADIC_CPyG'!G83-'FC-9_TRANS_SUBV'!H48,2)=0,"Ok","Mal,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1053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1054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1055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5" t="s">
        <v>1044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5" t="s">
        <v>1045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1011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7"/>
      <c r="D12" s="142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1012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1013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5"/>
      <c r="D35" s="1355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">
      <selection activeCell="D50" sqref="D5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35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7"/>
      <c r="D12" s="142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7" t="s">
        <v>443</v>
      </c>
      <c r="D18" s="1448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1" t="s">
        <v>569</v>
      </c>
      <c r="D20" s="1482"/>
      <c r="E20" s="272">
        <f>SUM(E21:E30)</f>
        <v>2760000</v>
      </c>
      <c r="F20" s="1490"/>
      <c r="G20" s="1491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2760000</v>
      </c>
      <c r="F21" s="1492"/>
      <c r="G21" s="149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4"/>
      <c r="G22" s="1495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94"/>
      <c r="G23" s="1495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94"/>
      <c r="G24" s="1495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4"/>
      <c r="G25" s="1495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4"/>
      <c r="G26" s="1495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1052</v>
      </c>
      <c r="D27" s="266"/>
      <c r="E27" s="1266"/>
      <c r="F27" s="1244" t="s">
        <v>1000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4"/>
      <c r="G28" s="1495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0</v>
      </c>
      <c r="F29" s="1494"/>
      <c r="G29" s="1495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6"/>
      <c r="G30" s="1497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1" t="s">
        <v>578</v>
      </c>
      <c r="D32" s="1482"/>
      <c r="E32" s="272">
        <f>SUM(E33:E44)</f>
        <v>-1626588.28</v>
      </c>
      <c r="F32" s="1490"/>
      <c r="G32" s="1491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-414000</v>
      </c>
      <c r="F33" s="1494"/>
      <c r="G33" s="14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-1067164.49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-184763.08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-'FC-3_1_INF_ADIC_CPyG'!G70-'FC-3_1_INF_ADIC_CPyG'!G71</f>
        <v>-205748.79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-8436.92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-50000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-'FC-7_INF'!F31-'FC-7_INF'!H31+'FC-7_INF'!N31-'FC-7_INF'!F33-'FC-7_INF'!H33-'FC-7_INF'!K33-'FC-7_INF'!K28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1047</v>
      </c>
      <c r="D42" s="266"/>
      <c r="E42" s="1264">
        <f>'FC-16_1_ INF_ADIC_ESTAB_PRESUP'!G19+'FC-16_1_ INF_ADIC_ESTAB_PRESUP'!G28</f>
        <v>0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1048</v>
      </c>
      <c r="D43" s="266"/>
      <c r="E43" s="1266"/>
      <c r="F43" s="1494" t="s">
        <v>1000</v>
      </c>
      <c r="G43" s="1495" t="s">
        <v>1000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1049</v>
      </c>
      <c r="D44" s="267"/>
      <c r="E44" s="1270">
        <f>'FC-3_1_INF_ADIC_CPyG'!G89</f>
        <v>303525</v>
      </c>
      <c r="F44" s="1496"/>
      <c r="G44" s="1497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1133411.72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1050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1051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5"/>
      <c r="D52" s="1355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8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8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5" customFormat="1" ht="30" customHeight="1">
      <c r="B9" s="1306"/>
      <c r="C9" s="630" t="s">
        <v>2</v>
      </c>
      <c r="D9" s="1350" t="str">
        <f>Entidad</f>
        <v>INSTITUTO MEDICO TINERFEÑO, S. A. (IMETISA)</v>
      </c>
      <c r="E9" s="1350"/>
      <c r="F9" s="1350"/>
      <c r="G9" s="1350"/>
      <c r="H9" s="1350"/>
      <c r="I9" s="1350"/>
      <c r="J9" s="1350"/>
      <c r="K9" s="1350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1024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5" customFormat="1" ht="30" customHeight="1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2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8"/>
      <c r="C13" s="1498"/>
      <c r="D13" s="1499"/>
      <c r="E13" s="994" t="s">
        <v>1031</v>
      </c>
      <c r="F13" s="1500" t="s">
        <v>396</v>
      </c>
      <c r="G13" s="1501"/>
      <c r="H13" s="1501"/>
      <c r="I13" s="1502"/>
      <c r="J13" s="994" t="s">
        <v>1032</v>
      </c>
      <c r="K13" s="1503" t="s">
        <v>1043</v>
      </c>
      <c r="L13" s="1316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7" t="s">
        <v>1025</v>
      </c>
      <c r="D14" s="1318"/>
      <c r="E14" s="1319">
        <f>ejercicio</f>
        <v>2020</v>
      </c>
      <c r="F14" s="1320" t="s">
        <v>1033</v>
      </c>
      <c r="G14" s="1321" t="s">
        <v>1034</v>
      </c>
      <c r="H14" s="1321" t="s">
        <v>1035</v>
      </c>
      <c r="I14" s="1322" t="s">
        <v>1036</v>
      </c>
      <c r="J14" s="1319">
        <f>ejercicio</f>
        <v>2020</v>
      </c>
      <c r="K14" s="1504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3" customFormat="1" ht="22.5" customHeight="1">
      <c r="B15" s="638"/>
      <c r="C15" s="1324" t="s">
        <v>1027</v>
      </c>
      <c r="D15" s="1325"/>
      <c r="E15" s="481"/>
      <c r="F15" s="482"/>
      <c r="G15" s="483"/>
      <c r="H15" s="483"/>
      <c r="I15" s="484"/>
      <c r="J15" s="801">
        <f>SUM(E15:I15)</f>
        <v>0</v>
      </c>
      <c r="K15" s="512"/>
      <c r="L15" s="1316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6" t="s">
        <v>1028</v>
      </c>
      <c r="D16" s="1327"/>
      <c r="E16" s="485"/>
      <c r="F16" s="486"/>
      <c r="G16" s="487"/>
      <c r="H16" s="487"/>
      <c r="I16" s="488"/>
      <c r="J16" s="806">
        <f>SUM(E16:I16)</f>
        <v>0</v>
      </c>
      <c r="K16" s="1302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6" t="s">
        <v>1029</v>
      </c>
      <c r="D17" s="1327"/>
      <c r="E17" s="485"/>
      <c r="F17" s="486"/>
      <c r="G17" s="487"/>
      <c r="H17" s="487"/>
      <c r="I17" s="488"/>
      <c r="J17" s="806">
        <f>SUM(E17:I17)</f>
        <v>0</v>
      </c>
      <c r="K17" s="1302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8" t="s">
        <v>1030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1"/>
      <c r="D20" s="1331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8"/>
      <c r="D22" s="1499"/>
      <c r="E22" s="994" t="s">
        <v>1031</v>
      </c>
      <c r="F22" s="1500" t="s">
        <v>396</v>
      </c>
      <c r="G22" s="1501"/>
      <c r="H22" s="1501"/>
      <c r="I22" s="1502"/>
      <c r="J22" s="994" t="s">
        <v>1032</v>
      </c>
      <c r="K22" s="1503" t="s">
        <v>1043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7" t="s">
        <v>1026</v>
      </c>
      <c r="D23" s="1318"/>
      <c r="E23" s="1319">
        <f>ejercicio</f>
        <v>2020</v>
      </c>
      <c r="F23" s="1320" t="s">
        <v>1033</v>
      </c>
      <c r="G23" s="1321" t="s">
        <v>1034</v>
      </c>
      <c r="H23" s="1321" t="s">
        <v>1035</v>
      </c>
      <c r="I23" s="1322" t="s">
        <v>1036</v>
      </c>
      <c r="J23" s="1319">
        <f>ejercicio</f>
        <v>2020</v>
      </c>
      <c r="K23" s="1504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4" t="s">
        <v>1037</v>
      </c>
      <c r="D24" s="1325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6" t="s">
        <v>1038</v>
      </c>
      <c r="D25" s="1327"/>
      <c r="E25" s="485"/>
      <c r="F25" s="486"/>
      <c r="G25" s="487"/>
      <c r="H25" s="487"/>
      <c r="I25" s="488"/>
      <c r="J25" s="801">
        <f>SUM(E25:I25)</f>
        <v>0</v>
      </c>
      <c r="K25" s="1302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6" t="s">
        <v>1039</v>
      </c>
      <c r="D26" s="1327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8" t="s">
        <v>1040</v>
      </c>
      <c r="D27" s="1329"/>
      <c r="E27" s="489"/>
      <c r="F27" s="490"/>
      <c r="G27" s="491"/>
      <c r="H27" s="491"/>
      <c r="I27" s="492"/>
      <c r="J27" s="801">
        <f>SUM(E27:I27)</f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8"/>
      <c r="C29" s="1331"/>
      <c r="D29" s="1331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1041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2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1042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9"/>
      <c r="D35" s="1349"/>
      <c r="E35" s="1349"/>
      <c r="F35" s="1349"/>
      <c r="G35" s="1301"/>
      <c r="H35" s="1301"/>
      <c r="I35" s="1301"/>
      <c r="J35" s="1301"/>
      <c r="K35" s="1304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1046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2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2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356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7"/>
      <c r="D12" s="1427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6" t="s">
        <v>443</v>
      </c>
      <c r="D14" s="1418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5" t="s">
        <v>589</v>
      </c>
      <c r="D16" s="1506"/>
      <c r="E16" s="298">
        <f>SUM(E17:E19)</f>
        <v>2760000</v>
      </c>
      <c r="F16" s="301">
        <f>E16/$E$33</f>
        <v>1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2760000</v>
      </c>
      <c r="F18" s="303">
        <f>E18/$E$33</f>
        <v>1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1000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5" t="s">
        <v>596</v>
      </c>
      <c r="D21" s="1506"/>
      <c r="E21" s="1292">
        <f>+'FC-3_1_INF_ADIC_CPyG'!K40</f>
        <v>0</v>
      </c>
      <c r="F21" s="306">
        <f>E21/$E$33</f>
        <v>0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5" t="s">
        <v>597</v>
      </c>
      <c r="D23" s="1506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'FC-3_1_INF_ADIC_CPyG'!G83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+'FC-3_1_INF_ADIC_CPyG'!G80+'FC-3_1_INF_ADIC_CPyG'!G81+'FC-3_1_INF_ADIC_CPyG'!G82+'FC-3_1_INF_ADIC_CPyG'!G85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+'FC-3_1_INF_ADIC_CPyG'!G84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5" t="s">
        <v>601</v>
      </c>
      <c r="D28" s="1506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3"/>
      <c r="E29" s="513"/>
      <c r="F29" s="302">
        <f>E29/$E$33</f>
        <v>0</v>
      </c>
      <c r="G29" s="188"/>
      <c r="I29" s="434" t="s">
        <v>1000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1000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7" t="s">
        <v>602</v>
      </c>
      <c r="D33" s="1508"/>
      <c r="E33" s="294">
        <f>E28+E23+E21+E16</f>
        <v>2760000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5"/>
      <c r="D40" s="1355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6">
      <selection activeCell="E40" sqref="E4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2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2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6" t="str">
        <f>Entidad</f>
        <v>INSTITUTO MEDICO TINERFEÑO, S. A. (IMETISA)</v>
      </c>
      <c r="E9" s="1356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7"/>
      <c r="D12" s="1427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6" t="s">
        <v>618</v>
      </c>
      <c r="D14" s="1418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2760000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5" t="s">
        <v>609</v>
      </c>
      <c r="D21" s="1506"/>
      <c r="E21" s="298">
        <f>SUM(E16:E20)</f>
        <v>2760000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5" t="s">
        <v>612</v>
      </c>
      <c r="D25" s="1506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5" t="s">
        <v>615</v>
      </c>
      <c r="D29" s="1506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9" t="s">
        <v>616</v>
      </c>
      <c r="D31" s="1510"/>
      <c r="E31" s="307">
        <f>E21+E25+E29</f>
        <v>2760000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5" t="s">
        <v>617</v>
      </c>
      <c r="D33" s="1506"/>
      <c r="E33" s="298">
        <f>'_FC-90_DETALLE'!H72</f>
        <v>160000</v>
      </c>
      <c r="F33" s="188"/>
    </row>
    <row r="34" spans="2:6" s="189" customFormat="1" ht="9" customHeight="1">
      <c r="B34" s="187"/>
      <c r="C34" s="21"/>
      <c r="D34" s="1240"/>
      <c r="E34" s="151"/>
      <c r="F34" s="188"/>
    </row>
    <row r="35" spans="2:6" s="308" customFormat="1" ht="22.5" customHeight="1" thickBot="1">
      <c r="B35" s="110"/>
      <c r="C35" s="1509" t="s">
        <v>616</v>
      </c>
      <c r="D35" s="1510"/>
      <c r="E35" s="307">
        <f>E31+E33</f>
        <v>2920000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6" t="s">
        <v>619</v>
      </c>
      <c r="D37" s="1418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1067164.49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797451.6699999999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617246.35</v>
      </c>
      <c r="F42" s="188"/>
    </row>
    <row r="43" spans="2:6" s="189" customFormat="1" ht="22.5" customHeight="1">
      <c r="B43" s="187"/>
      <c r="C43" s="1505" t="s">
        <v>623</v>
      </c>
      <c r="D43" s="1506"/>
      <c r="E43" s="298">
        <f>SUM(E39:E42)</f>
        <v>2481862.51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303525</v>
      </c>
      <c r="F46" s="188"/>
    </row>
    <row r="47" spans="2:6" s="189" customFormat="1" ht="22.5" customHeight="1">
      <c r="B47" s="187"/>
      <c r="C47" s="1505" t="s">
        <v>625</v>
      </c>
      <c r="D47" s="1506"/>
      <c r="E47" s="298">
        <f>SUM(E45:E46)</f>
        <v>303525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5" t="s">
        <v>626</v>
      </c>
      <c r="D51" s="1506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9" t="s">
        <v>627</v>
      </c>
      <c r="D53" s="1510"/>
      <c r="E53" s="307">
        <f>E43+E47+E51</f>
        <v>2785387.51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5" t="s">
        <v>628</v>
      </c>
      <c r="D55" s="1506"/>
      <c r="E55" s="298">
        <f>'_FC-90_DETALLE'!H152</f>
        <v>331103.83</v>
      </c>
      <c r="F55" s="188"/>
    </row>
    <row r="56" spans="2:6" s="189" customFormat="1" ht="9" customHeight="1">
      <c r="B56" s="187"/>
      <c r="C56" s="21"/>
      <c r="D56" s="1240"/>
      <c r="E56" s="151"/>
      <c r="F56" s="188"/>
    </row>
    <row r="57" spans="2:6" s="189" customFormat="1" ht="24" customHeight="1" thickBot="1">
      <c r="B57" s="187"/>
      <c r="C57" s="1509" t="s">
        <v>627</v>
      </c>
      <c r="D57" s="1510"/>
      <c r="E57" s="307">
        <f>E53+E55</f>
        <v>3116491.34</v>
      </c>
      <c r="F57" s="188"/>
    </row>
    <row r="58" spans="2:6" s="189" customFormat="1" ht="24" customHeight="1">
      <c r="B58" s="187"/>
      <c r="C58" s="21"/>
      <c r="D58" s="1240"/>
      <c r="E58" s="151"/>
      <c r="F58" s="188"/>
    </row>
    <row r="59" spans="2:6" s="189" customFormat="1" ht="24" customHeight="1" thickBot="1">
      <c r="B59" s="187"/>
      <c r="C59" s="1241" t="s">
        <v>997</v>
      </c>
      <c r="D59" s="1242"/>
      <c r="E59" s="1243">
        <f>E35-E57</f>
        <v>-196491.33999999985</v>
      </c>
      <c r="F59" s="188"/>
    </row>
    <row r="60" spans="2:6" s="189" customFormat="1" ht="24" customHeight="1" thickTop="1">
      <c r="B60" s="187"/>
      <c r="C60" s="21"/>
      <c r="D60" s="1240"/>
      <c r="E60" s="151"/>
      <c r="F60" s="188"/>
    </row>
    <row r="61" spans="2:6" s="189" customFormat="1" ht="24" customHeight="1" thickBot="1">
      <c r="B61" s="187"/>
      <c r="C61" s="1241" t="s">
        <v>998</v>
      </c>
      <c r="D61" s="1242"/>
      <c r="E61" s="1243">
        <f>'_FC-90_DETALLE'!H170</f>
        <v>196491.33999999962</v>
      </c>
      <c r="F61" s="188"/>
    </row>
    <row r="62" spans="2:6" s="189" customFormat="1" ht="24" customHeight="1" thickTop="1">
      <c r="B62" s="187"/>
      <c r="C62" s="21"/>
      <c r="D62" s="1240"/>
      <c r="E62" s="151"/>
      <c r="F62" s="188"/>
    </row>
    <row r="63" spans="2:6" s="189" customFormat="1" ht="24" customHeight="1" thickBot="1">
      <c r="B63" s="187"/>
      <c r="C63" s="1241" t="s">
        <v>999</v>
      </c>
      <c r="D63" s="1242"/>
      <c r="E63" s="1243">
        <f>+E59+E61</f>
        <v>-2.3283064365386963E-10</v>
      </c>
      <c r="F63" s="188"/>
    </row>
    <row r="64" spans="2:8" ht="22.5" customHeight="1" thickBot="1" thickTop="1">
      <c r="B64" s="120"/>
      <c r="C64" s="1355"/>
      <c r="D64" s="1355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4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123" sqref="E123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16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16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17" t="str">
        <f>Entidad</f>
        <v>INSTITUTO MEDICO TINERFEÑO, S. A. (IMETISA)</v>
      </c>
      <c r="E9" s="1517"/>
      <c r="F9" s="1517"/>
      <c r="G9" s="1517"/>
      <c r="H9" s="1517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18"/>
      <c r="D12" s="1518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9" t="s">
        <v>618</v>
      </c>
      <c r="D14" s="1520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2760000</v>
      </c>
      <c r="F18" s="1058">
        <f>SUM(F19:F25)</f>
        <v>0</v>
      </c>
      <c r="G18" s="1058">
        <f>SUM(G19:G25)</f>
        <v>0</v>
      </c>
      <c r="H18" s="1058">
        <f>SUM(H19:H25)</f>
        <v>2760000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2760000</v>
      </c>
      <c r="F19" s="1065"/>
      <c r="G19" s="1169"/>
      <c r="H19" s="1066">
        <f aca="true" t="shared" si="0" ref="H19:H25">SUM(E19:G19)</f>
        <v>2760000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'FC-3_1_INF_ADIC_CPyG'!G76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'FC-3_1_INF_ADIC_CPyG'!G78</f>
        <v>0</v>
      </c>
      <c r="F21" s="1065"/>
      <c r="G21" s="1169"/>
      <c r="H21" s="1066">
        <f t="shared" si="0"/>
        <v>0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1015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0</v>
      </c>
      <c r="F26" s="1058">
        <f>SUM(F27:F30)</f>
        <v>0</v>
      </c>
      <c r="G26" s="1058">
        <f>SUM(G27:G30)</f>
        <v>0</v>
      </c>
      <c r="H26" s="1058">
        <f>SUM(H27:H30)</f>
        <v>0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0</v>
      </c>
      <c r="F27" s="1065"/>
      <c r="G27" s="1169"/>
      <c r="H27" s="1066">
        <f>SUM(E27:G27)</f>
        <v>0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0</v>
      </c>
      <c r="G28" s="1169"/>
      <c r="H28" s="1066">
        <f>SUM(E28:G28)</f>
        <v>0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'FC-3_1_INF_ADIC_CPyG'!G77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21" t="s">
        <v>609</v>
      </c>
      <c r="D39" s="1522"/>
      <c r="E39" s="1077">
        <f>E16+E17+E18+E26+E31</f>
        <v>2760000</v>
      </c>
      <c r="F39" s="1077">
        <f>F16+F17+F18+F26+F31</f>
        <v>0</v>
      </c>
      <c r="G39" s="1077">
        <f>G16+G17+G18+G26+G31</f>
        <v>0</v>
      </c>
      <c r="H39" s="1077">
        <f>H16+H17+H18+H26+H31</f>
        <v>2760000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303525</v>
      </c>
      <c r="G41" s="1058">
        <f>SUM(G42:G44)</f>
        <v>-303525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-'FC-7_INF'!K31</f>
        <v>303525</v>
      </c>
      <c r="G42" s="1171">
        <v>-303525</v>
      </c>
      <c r="H42" s="1066">
        <f>SUM(E42:G42)</f>
        <v>0</v>
      </c>
      <c r="I42" s="1067"/>
      <c r="K42" s="1183" t="s">
        <v>1085</v>
      </c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14" t="s">
        <v>612</v>
      </c>
      <c r="D50" s="1515"/>
      <c r="E50" s="1051">
        <f>E41+E45</f>
        <v>0</v>
      </c>
      <c r="F50" s="1051">
        <f>F41+F45</f>
        <v>303525</v>
      </c>
      <c r="G50" s="1051">
        <f>G41+G45</f>
        <v>-303525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14" t="s">
        <v>615</v>
      </c>
      <c r="D68" s="1515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26" t="s">
        <v>845</v>
      </c>
      <c r="D70" s="1527"/>
      <c r="E70" s="1105">
        <f>E68+E50+E39</f>
        <v>2760000</v>
      </c>
      <c r="F70" s="1105">
        <f>F68+F50+F39</f>
        <v>303525</v>
      </c>
      <c r="G70" s="1105">
        <f>G68+G50+G39</f>
        <v>-303525</v>
      </c>
      <c r="H70" s="1105">
        <f>H68+H50+H39</f>
        <v>2760000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28" t="s">
        <v>617</v>
      </c>
      <c r="D72" s="1529"/>
      <c r="E72" s="1108">
        <f>SUM(E73:E81)</f>
        <v>160000</v>
      </c>
      <c r="F72" s="1108">
        <f>SUM(F73:F81)</f>
        <v>0</v>
      </c>
      <c r="G72" s="1108">
        <f>SUM(G73:G81)</f>
        <v>0</v>
      </c>
      <c r="H72" s="1108">
        <f>SUM(H73:H81)</f>
        <v>160000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160000</v>
      </c>
      <c r="F75" s="1065"/>
      <c r="G75" s="1065"/>
      <c r="H75" s="1066">
        <f t="shared" si="3"/>
        <v>160000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1017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24" t="s">
        <v>856</v>
      </c>
      <c r="D83" s="1525"/>
      <c r="E83" s="1111">
        <f>E70+E72</f>
        <v>2920000</v>
      </c>
      <c r="F83" s="1111">
        <f>F70+F72</f>
        <v>303525</v>
      </c>
      <c r="G83" s="1111">
        <f>G70+G72</f>
        <v>-303525</v>
      </c>
      <c r="H83" s="1111">
        <f>H70+H72</f>
        <v>2920000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9" t="s">
        <v>619</v>
      </c>
      <c r="D86" s="1520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1067164.49</v>
      </c>
      <c r="F88" s="1058">
        <f>SUM(F89:F92)</f>
        <v>0</v>
      </c>
      <c r="G88" s="1058">
        <f>SUM(G89:G92)</f>
        <v>0</v>
      </c>
      <c r="H88" s="1058">
        <f>SUM(H89:H92)</f>
        <v>1067164.49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1067164.49</v>
      </c>
      <c r="F89" s="1065"/>
      <c r="G89" s="1065"/>
      <c r="H89" s="1066">
        <f>F89+E89</f>
        <v>1067164.49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493926.6699999999</v>
      </c>
      <c r="F93" s="1122">
        <f>SUM(F94:F105)</f>
        <v>0</v>
      </c>
      <c r="G93" s="1122">
        <f>SUM(G94:G105)</f>
        <v>303525</v>
      </c>
      <c r="H93" s="1122">
        <f>SUM(H94:H105)</f>
        <v>797451.6699999999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414000</v>
      </c>
      <c r="F94" s="1065"/>
      <c r="G94" s="1065"/>
      <c r="H94" s="1066">
        <f>SUM(E94:G94)</f>
        <v>414000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184763.08</v>
      </c>
      <c r="F96" s="1065"/>
      <c r="G96" s="1065"/>
      <c r="H96" s="1066">
        <f t="shared" si="4"/>
        <v>184763.08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8436.92</v>
      </c>
      <c r="F97" s="1065"/>
      <c r="G97" s="1065"/>
      <c r="H97" s="1066">
        <f t="shared" si="4"/>
        <v>8436.92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140251.66999999998</v>
      </c>
      <c r="F100" s="1065"/>
      <c r="G100" s="1065"/>
      <c r="H100" s="1066">
        <f t="shared" si="4"/>
        <v>140251.66999999998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1019</v>
      </c>
      <c r="E101" s="1064">
        <f>-'FC-3_1_INF_ADIC_CPyG'!G57</f>
        <v>50000</v>
      </c>
      <c r="F101" s="1065"/>
      <c r="G101" s="1065"/>
      <c r="H101" s="1066">
        <f t="shared" si="4"/>
        <v>50000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-'FC-3_1_INF_ADIC_CPyG'!G89</f>
        <v>-303525</v>
      </c>
      <c r="F102" s="1065"/>
      <c r="G102" s="1065">
        <v>303525</v>
      </c>
      <c r="H102" s="1066">
        <f t="shared" si="4"/>
        <v>0</v>
      </c>
      <c r="I102" s="1042"/>
      <c r="K102" s="1183" t="s">
        <v>1086</v>
      </c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0</v>
      </c>
      <c r="F106" s="1122">
        <f>SUM(F107:F111)</f>
        <v>0</v>
      </c>
      <c r="G106" s="1122">
        <f>SUM(G107:G111)</f>
        <v>0</v>
      </c>
      <c r="H106" s="1122">
        <f>SUM(H107:H111)</f>
        <v>0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0</v>
      </c>
      <c r="F108" s="1065"/>
      <c r="G108" s="1065"/>
      <c r="H108" s="1066">
        <f t="shared" si="4"/>
        <v>0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303525</v>
      </c>
      <c r="F112" s="1122">
        <f>SUM(F113:F115)</f>
        <v>0</v>
      </c>
      <c r="G112" s="1122">
        <f>SUM(G113:G115)</f>
        <v>313721.35</v>
      </c>
      <c r="H112" s="1122">
        <f>SUM(H113:H115)</f>
        <v>617246.35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+'FC-3_1_INF_ADIC_CPyG'!G89</f>
        <v>303525</v>
      </c>
      <c r="F113" s="1065"/>
      <c r="G113" s="1065">
        <v>-303525</v>
      </c>
      <c r="H113" s="1066">
        <f>SUM(E113:G113)</f>
        <v>0</v>
      </c>
      <c r="I113" s="1042"/>
      <c r="K113" s="1183" t="s">
        <v>1086</v>
      </c>
    </row>
    <row r="114" spans="2:11" s="1043" customFormat="1" ht="18" hidden="1">
      <c r="B114" s="1040"/>
      <c r="C114" s="1178" t="s">
        <v>980</v>
      </c>
      <c r="D114" s="1187" t="s">
        <v>1076</v>
      </c>
      <c r="E114" s="1065"/>
      <c r="F114" s="1065"/>
      <c r="G114" s="1169">
        <v>617246.35</v>
      </c>
      <c r="H114" s="1066">
        <f>SUM(E114:G114)</f>
        <v>617246.35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14" t="s">
        <v>623</v>
      </c>
      <c r="D116" s="1515"/>
      <c r="E116" s="1051">
        <f>E88+E93+E106+E112</f>
        <v>1864616.16</v>
      </c>
      <c r="F116" s="1051">
        <f>F88+F93+F106+F112</f>
        <v>0</v>
      </c>
      <c r="G116" s="1051">
        <f>G88+G93+G106+G112</f>
        <v>617246.35</v>
      </c>
      <c r="H116" s="1051">
        <f>H88+H93+H106+H112</f>
        <v>2481862.51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303525</v>
      </c>
      <c r="G118" s="1058">
        <f>SUM(G119:G122)</f>
        <v>-303525</v>
      </c>
      <c r="H118" s="1058">
        <f>SUM(H119:H122)</f>
        <v>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303525</v>
      </c>
      <c r="G119" s="1172">
        <f>-F119</f>
        <v>-303525</v>
      </c>
      <c r="H119" s="1066">
        <f>SUM(E119:G119)</f>
        <v>0</v>
      </c>
      <c r="I119" s="1042"/>
      <c r="K119" s="1183" t="s">
        <v>1085</v>
      </c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303525</v>
      </c>
      <c r="H123" s="1058">
        <f>SUM(H124:H126)</f>
        <v>303525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>
        <f>-G119</f>
        <v>303525</v>
      </c>
      <c r="H124" s="1066">
        <f>SUM(E124:G124)</f>
        <v>303525</v>
      </c>
      <c r="I124" s="1074"/>
      <c r="K124" s="1183" t="s">
        <v>1085</v>
      </c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14" t="s">
        <v>625</v>
      </c>
      <c r="D127" s="1515"/>
      <c r="E127" s="1051">
        <f>+E118+E123</f>
        <v>0</v>
      </c>
      <c r="F127" s="1051">
        <f>+F118+F123</f>
        <v>303525</v>
      </c>
      <c r="G127" s="1051">
        <f>+G118+G123</f>
        <v>0</v>
      </c>
      <c r="H127" s="1051">
        <f>+H118+H123</f>
        <v>303525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600315.56</v>
      </c>
      <c r="G136" s="1092">
        <f>SUM(G137:G144)</f>
        <v>-600315.56</v>
      </c>
      <c r="H136" s="1092">
        <f>SUM(H137:H144)</f>
        <v>0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600315.56</v>
      </c>
      <c r="G140" s="1173">
        <f>-F140</f>
        <v>-600315.56</v>
      </c>
      <c r="H140" s="1066">
        <f t="shared" si="5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21" t="s">
        <v>626</v>
      </c>
      <c r="D145" s="1522"/>
      <c r="E145" s="1077">
        <f>+E129+E136</f>
        <v>0</v>
      </c>
      <c r="F145" s="1077">
        <f>+F129+F136</f>
        <v>600315.56</v>
      </c>
      <c r="G145" s="1077">
        <f>+G129+G136</f>
        <v>-600315.56</v>
      </c>
      <c r="H145" s="1077">
        <f>+H129+H136</f>
        <v>0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30" t="s">
        <v>882</v>
      </c>
      <c r="D147" s="1531"/>
      <c r="E147" s="1132">
        <f>+E116+E127+E145</f>
        <v>1864616.16</v>
      </c>
      <c r="F147" s="1132">
        <f>+F116+F127+F145</f>
        <v>903840.56</v>
      </c>
      <c r="G147" s="1132">
        <f>+G116+G127+G145</f>
        <v>16930.78999999992</v>
      </c>
      <c r="H147" s="1132">
        <f>+H116+H127+H145</f>
        <v>2785387.51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895383.8400000001</v>
      </c>
      <c r="F149" s="1135">
        <f>F70-F147</f>
        <v>-600315.56</v>
      </c>
      <c r="G149" s="1135">
        <f>G70-G147</f>
        <v>-320455.7899999999</v>
      </c>
      <c r="H149" s="1135">
        <f>H70-H147</f>
        <v>-25387.509999999776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32" t="s">
        <v>628</v>
      </c>
      <c r="D152" s="1533"/>
      <c r="E152" s="1137">
        <f>SUM(E153:E164)</f>
        <v>634628.8300000001</v>
      </c>
      <c r="F152" s="1138">
        <f>SUM(F153:F164)</f>
        <v>0</v>
      </c>
      <c r="G152" s="1138">
        <f>SUM(G153:G164)</f>
        <v>-303525</v>
      </c>
      <c r="H152" s="1138">
        <f>SUM(H153:H164)</f>
        <v>331103.83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331103.83</v>
      </c>
      <c r="F157" s="1065"/>
      <c r="G157" s="1065"/>
      <c r="H157" s="1066">
        <f t="shared" si="6"/>
        <v>331103.83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303525</v>
      </c>
      <c r="F159" s="1065"/>
      <c r="G159" s="1065">
        <v>-303525</v>
      </c>
      <c r="H159" s="1066">
        <f t="shared" si="6"/>
        <v>0</v>
      </c>
      <c r="I159" s="1042"/>
      <c r="K159" s="1183" t="s">
        <v>1085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1016</v>
      </c>
      <c r="D161" s="1063" t="s">
        <v>1018</v>
      </c>
      <c r="E161" s="1064">
        <f>-'FC-3_1_INF_ADIC_CPyG'!G63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24" t="s">
        <v>898</v>
      </c>
      <c r="D166" s="1525"/>
      <c r="E166" s="1111">
        <f>+E147+E152</f>
        <v>2499244.99</v>
      </c>
      <c r="F166" s="1111">
        <f>+F147+F152</f>
        <v>903840.56</v>
      </c>
      <c r="G166" s="1111">
        <f>+G147+G152</f>
        <v>-286594.2100000001</v>
      </c>
      <c r="H166" s="1111">
        <f>+H147+H152</f>
        <v>3116491.34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420755.0099999998</v>
      </c>
      <c r="F168" s="1135">
        <f>+F83-F166</f>
        <v>-600315.56</v>
      </c>
      <c r="G168" s="1135">
        <f>+G83-G166</f>
        <v>-16930.78999999992</v>
      </c>
      <c r="H168" s="1135">
        <f>+H83-H166</f>
        <v>-196491.33999999985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34" t="s">
        <v>894</v>
      </c>
      <c r="D170" s="1535"/>
      <c r="E170" s="1151">
        <f>E171+E178+E180+E186+E187+E195</f>
        <v>0</v>
      </c>
      <c r="F170" s="1151">
        <f>F171+F178+F180+F186+F187+F195+F197</f>
        <v>796806.8999999997</v>
      </c>
      <c r="G170" s="1151">
        <f>G171+G178+G180+G186+G187+G195+G197</f>
        <v>-600315.56</v>
      </c>
      <c r="H170" s="1151">
        <f>H171+H178+H180+H186+H187+H195+H197</f>
        <v>196491.33999999962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11">
        <f>SUM(F174:F177)</f>
        <v>331103.83</v>
      </c>
      <c r="G171" s="1511">
        <f>SUM(G174:G177)</f>
        <v>0</v>
      </c>
      <c r="H171" s="1511">
        <f>F171+G171</f>
        <v>331103.83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12"/>
      <c r="G172" s="1512"/>
      <c r="H172" s="1512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13"/>
      <c r="G173" s="1513"/>
      <c r="H173" s="1513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331103.83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592476.3699999996</v>
      </c>
      <c r="G180" s="1155">
        <f>SUM(G181:G185)</f>
        <v>0</v>
      </c>
      <c r="H180" s="1156">
        <f>F180+G180</f>
        <v>592476.3699999996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167201.05999999994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5107.59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420167.71999999974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SUM(F188:F194)</f>
        <v>33226.70000000001</v>
      </c>
      <c r="G187" s="1155">
        <f>SUM(G188:G194)</f>
        <v>-600315.56</v>
      </c>
      <c r="H187" s="1156">
        <f>F187+G187</f>
        <v>-567088.8600000001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33226.70000000001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062" t="s">
        <v>924</v>
      </c>
      <c r="D194" s="1081" t="s">
        <v>1077</v>
      </c>
      <c r="E194" s="1065"/>
      <c r="F194" s="1094"/>
      <c r="G194" s="1172">
        <f>G140</f>
        <v>-600315.56</v>
      </c>
      <c r="H194" s="1066"/>
      <c r="I194" s="1042"/>
      <c r="K194" s="1183"/>
    </row>
    <row r="195" spans="2:11" s="1043" customFormat="1" ht="18" hidden="1">
      <c r="B195" s="1040"/>
      <c r="C195" s="1154" t="s">
        <v>916</v>
      </c>
      <c r="D195" s="1081"/>
      <c r="E195" s="1065"/>
      <c r="F195" s="1155">
        <f>F196</f>
        <v>-160000</v>
      </c>
      <c r="G195" s="1155">
        <f>G196</f>
        <v>0</v>
      </c>
      <c r="H195" s="1156">
        <f>F195+G195</f>
        <v>-160000</v>
      </c>
      <c r="I195" s="1042"/>
      <c r="K195" s="1183"/>
    </row>
    <row r="196" spans="2:11" s="1043" customFormat="1" ht="18" hidden="1">
      <c r="B196" s="1040"/>
      <c r="C196" s="1062" t="s">
        <v>924</v>
      </c>
      <c r="D196" s="1081" t="s">
        <v>895</v>
      </c>
      <c r="E196" s="1065"/>
      <c r="F196" s="1094">
        <f>'FC-9_TRANS_SUBV'!J33</f>
        <v>-160000</v>
      </c>
      <c r="G196" s="1094">
        <v>0</v>
      </c>
      <c r="H196" s="1066"/>
      <c r="I196" s="1042"/>
      <c r="K196" s="1183"/>
    </row>
    <row r="197" spans="2:11" s="1043" customFormat="1" ht="18" hidden="1">
      <c r="B197" s="1040"/>
      <c r="C197" s="1154" t="s">
        <v>956</v>
      </c>
      <c r="D197" s="1081"/>
      <c r="E197" s="1065"/>
      <c r="F197" s="1155">
        <f>SUM(F198:F202)</f>
        <v>0</v>
      </c>
      <c r="G197" s="1155">
        <f>SUM(G198:G202)</f>
        <v>0</v>
      </c>
      <c r="H197" s="1155">
        <f>SUM(F197:G197)</f>
        <v>0</v>
      </c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78"/>
      <c r="D200" s="1179"/>
      <c r="E200" s="1065"/>
      <c r="F200" s="1172"/>
      <c r="G200" s="1172"/>
      <c r="H200" s="1066"/>
      <c r="I200" s="1042"/>
      <c r="K200" s="1183"/>
    </row>
    <row r="201" spans="2:11" s="1043" customFormat="1" ht="18" hidden="1">
      <c r="B201" s="1040"/>
      <c r="C201" s="1180"/>
      <c r="D201" s="1179"/>
      <c r="E201" s="1130"/>
      <c r="F201" s="1174"/>
      <c r="G201" s="1174"/>
      <c r="H201" s="1066"/>
      <c r="I201" s="1042"/>
      <c r="K201" s="1183"/>
    </row>
    <row r="202" spans="2:11" s="1043" customFormat="1" ht="18.75" thickBot="1">
      <c r="B202" s="1040"/>
      <c r="C202" s="1181"/>
      <c r="D202" s="1182"/>
      <c r="E202" s="1158"/>
      <c r="F202" s="1177"/>
      <c r="G202" s="1177"/>
      <c r="H202" s="1159"/>
      <c r="I202" s="1042"/>
      <c r="K202" s="1183"/>
    </row>
    <row r="203" spans="2:9" s="1043" customFormat="1" ht="15">
      <c r="B203" s="1040"/>
      <c r="C203" s="1109"/>
      <c r="D203" s="1146"/>
      <c r="E203" s="1146"/>
      <c r="F203" s="1146"/>
      <c r="G203" s="1146"/>
      <c r="H203" s="1150"/>
      <c r="I203" s="1042"/>
    </row>
    <row r="204" spans="2:11" ht="15.75" thickBot="1">
      <c r="B204" s="1160"/>
      <c r="C204" s="1523"/>
      <c r="D204" s="1523"/>
      <c r="E204" s="1161"/>
      <c r="F204" s="1161"/>
      <c r="G204" s="1161"/>
      <c r="H204" s="1162"/>
      <c r="I204" s="1163"/>
      <c r="K204" s="1043"/>
    </row>
    <row r="205" spans="3:8" ht="12.75">
      <c r="C205" s="625"/>
      <c r="D205" s="625"/>
      <c r="E205" s="1037"/>
      <c r="F205" s="1037"/>
      <c r="G205" s="1037"/>
      <c r="H205" s="625"/>
    </row>
    <row r="206" spans="3:8" ht="12.75">
      <c r="C206" s="1164" t="s">
        <v>70</v>
      </c>
      <c r="D206" s="625"/>
      <c r="E206" s="1037"/>
      <c r="F206" s="1037"/>
      <c r="G206" s="1037"/>
      <c r="H206" s="1027" t="s">
        <v>955</v>
      </c>
    </row>
    <row r="207" spans="3:8" ht="12.75">
      <c r="C207" s="1165" t="s">
        <v>71</v>
      </c>
      <c r="D207" s="625"/>
      <c r="E207" s="1037"/>
      <c r="F207" s="1037"/>
      <c r="G207" s="1037"/>
      <c r="H207" s="625"/>
    </row>
    <row r="208" spans="3:8" ht="12.75">
      <c r="C208" s="1165" t="s">
        <v>72</v>
      </c>
      <c r="D208" s="625"/>
      <c r="E208" s="1037"/>
      <c r="F208" s="1037"/>
      <c r="G208" s="1037"/>
      <c r="H208" s="625"/>
    </row>
    <row r="209" spans="3:8" ht="12.75">
      <c r="C209" s="1165" t="s">
        <v>73</v>
      </c>
      <c r="D209" s="625"/>
      <c r="E209" s="1037"/>
      <c r="F209" s="1037"/>
      <c r="G209" s="1037"/>
      <c r="H209" s="625"/>
    </row>
    <row r="210" spans="3:8" ht="12.75">
      <c r="C210" s="1165" t="s">
        <v>74</v>
      </c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ht="12.75">
      <c r="C213" s="625"/>
      <c r="D213" s="625"/>
      <c r="E213" s="1037"/>
      <c r="F213" s="1037"/>
      <c r="G213" s="1037"/>
      <c r="H213" s="625"/>
    </row>
    <row r="214" spans="3:8" s="1075" customFormat="1" ht="20.25">
      <c r="C214" s="1166" t="s">
        <v>929</v>
      </c>
      <c r="D214" s="625"/>
      <c r="E214" s="1037"/>
      <c r="F214" s="1167"/>
      <c r="G214" s="1167"/>
      <c r="H214" s="1036"/>
    </row>
    <row r="215" spans="3:8" ht="12.75">
      <c r="C215" s="625"/>
      <c r="D215" s="625"/>
      <c r="E215" s="1037"/>
      <c r="H215" s="625"/>
    </row>
    <row r="216" spans="3:5" ht="12.75">
      <c r="C216" s="625"/>
      <c r="D216" s="625"/>
      <c r="E216" s="1037"/>
    </row>
    <row r="217" spans="3:5" ht="18.75" thickBot="1">
      <c r="C217" s="1133" t="s">
        <v>896</v>
      </c>
      <c r="D217" s="1134"/>
      <c r="E217" s="1135"/>
    </row>
    <row r="218" spans="3:5" ht="22.5" customHeight="1" thickTop="1">
      <c r="C218" s="625"/>
      <c r="D218" s="625" t="s">
        <v>930</v>
      </c>
      <c r="E218" s="1037">
        <f>+E168</f>
        <v>420755.0099999998</v>
      </c>
    </row>
    <row r="219" spans="4:5" ht="22.5" customHeight="1">
      <c r="D219" s="617" t="s">
        <v>931</v>
      </c>
      <c r="E219" s="1029">
        <f>+'FC-3_CPyG'!G84</f>
        <v>420755.00999999995</v>
      </c>
    </row>
    <row r="220" ht="22.5" customHeight="1">
      <c r="E220" s="1168" t="str">
        <f>IF(ROUND(E218-E219,2)=0,"OK","Mal, revísalo")</f>
        <v>OK</v>
      </c>
    </row>
    <row r="222" spans="4:5" ht="22.5" customHeight="1">
      <c r="D222" s="617" t="s">
        <v>932</v>
      </c>
      <c r="E222" s="1029">
        <f>+H168</f>
        <v>-196491.33999999985</v>
      </c>
    </row>
    <row r="223" spans="4:5" ht="22.5" customHeight="1">
      <c r="D223" s="617" t="s">
        <v>933</v>
      </c>
      <c r="E223" s="1029">
        <f>+H170</f>
        <v>196491.33999999962</v>
      </c>
    </row>
    <row r="224" ht="22.5" customHeight="1">
      <c r="E224" s="1168" t="str">
        <f>IF(ROUND(E222+E223,2)=0,"OK","Revísalo")</f>
        <v>OK</v>
      </c>
    </row>
  </sheetData>
  <sheetProtection sheet="1" scenarios="1" selectLockedCells="1" selectUnlockedCells="1"/>
  <mergeCells count="22">
    <mergeCell ref="C204:D204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G65" sqref="G65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2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2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7" t="str">
        <f>Entidad</f>
        <v>INSTITUTO MEDICO TINERFEÑO, S. A. (IMETISA)</v>
      </c>
      <c r="E9" s="1347"/>
      <c r="F9" s="1347"/>
      <c r="G9" s="1347"/>
      <c r="H9" s="1347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8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8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7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>
        <v>1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1066</v>
      </c>
      <c r="E23" s="546"/>
      <c r="F23" s="546"/>
      <c r="G23" s="546"/>
      <c r="H23" s="439">
        <v>43790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1067</v>
      </c>
      <c r="E25" s="547"/>
      <c r="F25" s="547"/>
      <c r="G25" s="547"/>
      <c r="H25" s="440">
        <v>42355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1068</v>
      </c>
      <c r="E27" s="547"/>
      <c r="F27" s="547"/>
      <c r="G27" s="547"/>
      <c r="H27" s="440">
        <v>43790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1069</v>
      </c>
      <c r="E28" s="547"/>
      <c r="F28" s="547"/>
      <c r="G28" s="547"/>
      <c r="H28" s="440">
        <v>43790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1070</v>
      </c>
      <c r="E29" s="547"/>
      <c r="F29" s="547"/>
      <c r="G29" s="547"/>
      <c r="H29" s="440">
        <v>43790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1071</v>
      </c>
      <c r="E30" s="547"/>
      <c r="F30" s="547"/>
      <c r="G30" s="547"/>
      <c r="H30" s="440">
        <v>43790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1072</v>
      </c>
      <c r="E31" s="547"/>
      <c r="F31" s="547"/>
      <c r="G31" s="547"/>
      <c r="H31" s="440">
        <v>43790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1073</v>
      </c>
      <c r="E32" s="547"/>
      <c r="F32" s="547"/>
      <c r="G32" s="547"/>
      <c r="H32" s="440">
        <v>43790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1074</v>
      </c>
      <c r="E33" s="547"/>
      <c r="F33" s="547"/>
      <c r="G33" s="547"/>
      <c r="H33" s="440">
        <v>43790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1075</v>
      </c>
      <c r="E40" s="548"/>
      <c r="F40" s="548"/>
      <c r="G40" s="548"/>
      <c r="H40" s="441">
        <v>38113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1078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5">
      <selection activeCell="G20" sqref="G20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0" t="str">
        <f>Entidad</f>
        <v>INSTITUTO MEDICO TINERFEÑO, S. A. (IMETISA)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3" t="s">
        <v>720</v>
      </c>
      <c r="G15" s="1353"/>
      <c r="H15" s="1353"/>
      <c r="I15" s="742">
        <f>ejercicio-2</f>
        <v>2018</v>
      </c>
      <c r="J15" s="743"/>
      <c r="K15" s="723"/>
      <c r="L15" s="1353" t="s">
        <v>719</v>
      </c>
      <c r="M15" s="1353"/>
      <c r="N15" s="1353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1056</v>
      </c>
      <c r="D17" s="442"/>
      <c r="E17" s="764" t="s">
        <v>1057</v>
      </c>
      <c r="F17" s="443">
        <v>0.9</v>
      </c>
      <c r="G17" s="762">
        <v>144</v>
      </c>
      <c r="H17" s="762"/>
      <c r="I17" s="445">
        <v>625</v>
      </c>
      <c r="J17" s="445">
        <v>70990.01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 t="s">
        <v>1058</v>
      </c>
      <c r="D18" s="446"/>
      <c r="E18" s="765" t="s">
        <v>1059</v>
      </c>
      <c r="F18" s="447">
        <v>0.1</v>
      </c>
      <c r="G18" s="763">
        <v>16</v>
      </c>
      <c r="H18" s="763"/>
      <c r="I18" s="449">
        <v>625</v>
      </c>
      <c r="J18" s="449">
        <v>70990.01</v>
      </c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3" t="s">
        <v>720</v>
      </c>
      <c r="G31" s="1353"/>
      <c r="H31" s="1353"/>
      <c r="I31" s="742">
        <f>ejercicio-2</f>
        <v>2018</v>
      </c>
      <c r="J31" s="743"/>
      <c r="K31" s="723"/>
      <c r="L31" s="1354" t="s">
        <v>719</v>
      </c>
      <c r="M31" s="1354"/>
      <c r="N31" s="1354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51" t="s">
        <v>30</v>
      </c>
      <c r="D47" s="1351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52"/>
      <c r="D48" s="1352"/>
      <c r="E48" s="1352"/>
      <c r="F48" s="1352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9"/>
      <c r="D55" s="1349"/>
      <c r="E55" s="1349"/>
      <c r="F55" s="1349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40">
      <selection activeCell="F45" sqref="F45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INSTITUTO MEDICO TINERFEÑO, S. A. (IMETISA)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2897929.97</v>
      </c>
      <c r="F16" s="131">
        <f>SUM(F17:F19)</f>
        <v>3016969.66</v>
      </c>
      <c r="G16" s="131">
        <f>SUM(G17:G19)</f>
        <v>2760000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2897929.97</v>
      </c>
      <c r="F18" s="451">
        <v>3016969.66</v>
      </c>
      <c r="G18" s="451">
        <v>2760000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-294710.49</v>
      </c>
      <c r="F22" s="131">
        <f>SUM(F23:F26)</f>
        <v>-644523.28</v>
      </c>
      <c r="G22" s="131">
        <f>SUM(G23:G26)</f>
        <v>-414000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-180062.95</v>
      </c>
      <c r="F23" s="450">
        <v>-644523.28</v>
      </c>
      <c r="G23" s="450">
        <v>-414000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-5767.01</v>
      </c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-108880.53</v>
      </c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0</v>
      </c>
      <c r="F27" s="131">
        <f>SUM(F28:F29)</f>
        <v>0</v>
      </c>
      <c r="G27" s="131">
        <f>SUM(G28:G29)</f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/>
      <c r="F28" s="450"/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-1070502.8299999998</v>
      </c>
      <c r="F30" s="131">
        <f>SUM(F31:F33)</f>
        <v>-1025597.5</v>
      </c>
      <c r="G30" s="131">
        <f>SUM(G31:G33)</f>
        <v>-1067164.49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f>-874837.33-2795.07</f>
        <v>-877632.3999999999</v>
      </c>
      <c r="F31" s="450">
        <v>-820744.98</v>
      </c>
      <c r="G31" s="450">
        <v>-858023.52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f>-186458.5-6411.93</f>
        <v>-192870.43</v>
      </c>
      <c r="F32" s="451">
        <v>-204852.52</v>
      </c>
      <c r="G32" s="451">
        <v>-209140.97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-388862.28</v>
      </c>
      <c r="F34" s="131">
        <f>SUM(F35:F39)</f>
        <v>-178499.28</v>
      </c>
      <c r="G34" s="131">
        <f>SUM(G35:G39)</f>
        <v>-193200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f>-388862.28+8436.92</f>
        <v>-380425.36000000004</v>
      </c>
      <c r="F35" s="450">
        <f>-178499.28+8436.92</f>
        <v>-170062.36</v>
      </c>
      <c r="G35" s="450">
        <f>-193200+8436.92</f>
        <v>-184763.08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-8436.92</v>
      </c>
      <c r="F36" s="451">
        <v>-8436.92</v>
      </c>
      <c r="G36" s="451">
        <v>-8436.92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-300556.82</v>
      </c>
      <c r="F40" s="452">
        <v>-331103.83</v>
      </c>
      <c r="G40" s="452">
        <v>-331103.83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>
        <v>160000</v>
      </c>
      <c r="G41" s="452">
        <v>160000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3750</v>
      </c>
      <c r="F43" s="131">
        <f>SUM(F44:F46)</f>
        <v>-170320.8</v>
      </c>
      <c r="G43" s="131">
        <f>SUM(G44:G46)</f>
        <v>-303525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>
        <v>3750</v>
      </c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>
        <f>-473845.8+303525</f>
        <v>-170320.8</v>
      </c>
      <c r="G45" s="451">
        <v>-303525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-59778.8</v>
      </c>
      <c r="F48" s="452">
        <v>-3929.83</v>
      </c>
      <c r="G48" s="452">
        <v>-50000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787268.7500000005</v>
      </c>
      <c r="F49" s="357">
        <f>F16+F20+F21+F22+F27+F30+F34+F40+F41+F42+F43+F47+F48</f>
        <v>822995.1399999998</v>
      </c>
      <c r="G49" s="357">
        <f>G16+G20+G21+G22+G27+G30+G34+G40+G41+G42+G43+G47+G48</f>
        <v>561006.6799999999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0.01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>
        <v>0.01</v>
      </c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0.01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787268.7600000005</v>
      </c>
      <c r="F76" s="360">
        <f>F74+F49</f>
        <v>822995.1399999998</v>
      </c>
      <c r="G76" s="360">
        <f>G74+G49</f>
        <v>561006.6799999999</v>
      </c>
      <c r="H76" s="60"/>
      <c r="J76" s="422"/>
      <c r="K76" s="1238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-186953.2</v>
      </c>
      <c r="F77" s="452">
        <f>+F76*0.25*-1</f>
        <v>-205748.78499999995</v>
      </c>
      <c r="G77" s="452">
        <f>+G76*0.25*-1</f>
        <v>-140251.66999999998</v>
      </c>
      <c r="H77" s="49"/>
      <c r="J77" s="1237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600315.5600000005</v>
      </c>
      <c r="F79" s="360">
        <f>F76+F77</f>
        <v>617246.3549999999</v>
      </c>
      <c r="G79" s="360">
        <f>G76+G77</f>
        <v>420755.00999999995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600315.5600000005</v>
      </c>
      <c r="F84" s="135">
        <f>F79+F82</f>
        <v>617246.3549999999</v>
      </c>
      <c r="G84" s="135">
        <f>G79+G82</f>
        <v>420755.00999999995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5"/>
      <c r="D86" s="1355"/>
      <c r="E86" s="1355"/>
      <c r="F86" s="1355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9"/>
  <sheetViews>
    <sheetView zoomScale="93" zoomScaleNormal="93" zoomScalePageLayoutView="125" workbookViewId="0" topLeftCell="A39">
      <selection activeCell="G91" sqref="G91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8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8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50" t="str">
        <f>Entidad</f>
        <v>INSTITUTO MEDICO TINERFEÑO, S. A. (IMETISA)</v>
      </c>
      <c r="E9" s="1350"/>
      <c r="F9" s="1350"/>
      <c r="G9" s="1350"/>
      <c r="H9" s="1350"/>
      <c r="I9" s="1350"/>
      <c r="J9" s="1350"/>
      <c r="K9" s="1350"/>
      <c r="L9" s="1350"/>
      <c r="M9" s="1350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3"/>
      <c r="D12" s="1363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2897929.97</v>
      </c>
      <c r="F30" s="654">
        <f>+F31+F40</f>
        <v>0</v>
      </c>
      <c r="G30" s="655"/>
      <c r="H30" s="654">
        <f>+H31+H40</f>
        <v>3016969.66</v>
      </c>
      <c r="I30" s="654">
        <f>+I31+I40</f>
        <v>0</v>
      </c>
      <c r="J30" s="655"/>
      <c r="K30" s="654">
        <f>+K31+K40</f>
        <v>2760000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2706118.31</v>
      </c>
      <c r="F31" s="667">
        <f>F32+F36</f>
        <v>0</v>
      </c>
      <c r="G31" s="668"/>
      <c r="H31" s="667">
        <f>H32+H36</f>
        <v>3016969.66</v>
      </c>
      <c r="I31" s="667">
        <f>I32+I36</f>
        <v>0</v>
      </c>
      <c r="J31" s="668"/>
      <c r="K31" s="667">
        <f>K32+K36</f>
        <v>2760000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2706118.31</v>
      </c>
      <c r="F32" s="801">
        <f>SUM(F33:F35)</f>
        <v>0</v>
      </c>
      <c r="G32" s="802"/>
      <c r="H32" s="801">
        <f>SUM(H33:H35)</f>
        <v>3016969.66</v>
      </c>
      <c r="I32" s="801">
        <f>SUM(I33:I35)</f>
        <v>0</v>
      </c>
      <c r="J32" s="802"/>
      <c r="K32" s="801">
        <f>SUM(K33:K35)</f>
        <v>2760000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 t="s">
        <v>1079</v>
      </c>
      <c r="D33" s="561"/>
      <c r="E33" s="511">
        <v>2706118.31</v>
      </c>
      <c r="F33" s="511"/>
      <c r="G33" s="551"/>
      <c r="H33" s="511">
        <v>3016969.66</v>
      </c>
      <c r="I33" s="511"/>
      <c r="J33" s="551"/>
      <c r="K33" s="511">
        <v>2760000</v>
      </c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191811.66</v>
      </c>
      <c r="F40" s="667">
        <f>+F41+F42</f>
        <v>0</v>
      </c>
      <c r="G40" s="668"/>
      <c r="H40" s="667">
        <f>+H41+H42</f>
        <v>0</v>
      </c>
      <c r="I40" s="667">
        <f>+I41+I42</f>
        <v>0</v>
      </c>
      <c r="J40" s="668"/>
      <c r="K40" s="667">
        <f>+K41+K42</f>
        <v>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v>191811.66</v>
      </c>
      <c r="F42" s="814"/>
      <c r="G42" s="815"/>
      <c r="H42" s="814"/>
      <c r="I42" s="814"/>
      <c r="J42" s="815"/>
      <c r="K42" s="814"/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2897929.97</v>
      </c>
      <c r="F43" s="674">
        <f>F16+F19+F30</f>
        <v>0</v>
      </c>
      <c r="G43" s="675"/>
      <c r="H43" s="674">
        <f>H16+H19+H30</f>
        <v>3016969.66</v>
      </c>
      <c r="I43" s="674">
        <f>I16+I19+I30</f>
        <v>0</v>
      </c>
      <c r="J43" s="675"/>
      <c r="K43" s="674">
        <f>K16+K19+K30</f>
        <v>2760000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7" t="s">
        <v>567</v>
      </c>
      <c r="I45" s="1358"/>
      <c r="J45" s="1358"/>
      <c r="K45" s="1358"/>
      <c r="L45" s="1358"/>
      <c r="M45" s="1359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60"/>
      <c r="I46" s="1361"/>
      <c r="J46" s="1361"/>
      <c r="K46" s="1361"/>
      <c r="L46" s="1361"/>
      <c r="M46" s="1362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442.32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1" t="s">
        <v>1003</v>
      </c>
      <c r="D48" s="1272"/>
      <c r="E48" s="1273">
        <f>SUM(E49:E51)</f>
        <v>0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5"/>
      <c r="I50" s="703"/>
      <c r="J50" s="703"/>
      <c r="K50" s="703"/>
      <c r="L50" s="703"/>
      <c r="M50" s="1246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1004</v>
      </c>
      <c r="D52" s="663"/>
      <c r="E52" s="1277">
        <f>SUM(E53:E55)</f>
        <v>442.32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>
        <v>442.32</v>
      </c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E57+E63</f>
        <v>-60221.119999999995</v>
      </c>
      <c r="F56" s="674">
        <f>F57+F63</f>
        <v>-3929.83</v>
      </c>
      <c r="G56" s="674">
        <f>G57+G63</f>
        <v>-50000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1" t="s">
        <v>1005</v>
      </c>
      <c r="D57" s="1272"/>
      <c r="E57" s="1273">
        <f>SUM(E58:E62)</f>
        <v>-60221.119999999995</v>
      </c>
      <c r="F57" s="1273">
        <f>SUM(F58:F62)</f>
        <v>-3929.83</v>
      </c>
      <c r="G57" s="1273">
        <f>SUM(G58:G62)</f>
        <v>-50000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1228" t="s">
        <v>1081</v>
      </c>
      <c r="D58" s="563"/>
      <c r="E58" s="583">
        <v>0</v>
      </c>
      <c r="F58" s="583">
        <v>0</v>
      </c>
      <c r="G58" s="583">
        <v>-50000</v>
      </c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1228" t="s">
        <v>1082</v>
      </c>
      <c r="D59" s="563"/>
      <c r="E59" s="583">
        <v>-41871.02</v>
      </c>
      <c r="F59" s="583">
        <v>0</v>
      </c>
      <c r="G59" s="583">
        <v>0</v>
      </c>
      <c r="H59" s="1245"/>
      <c r="I59" s="703"/>
      <c r="J59" s="703"/>
      <c r="K59" s="703"/>
      <c r="L59" s="703"/>
      <c r="M59" s="1246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1228" t="s">
        <v>1083</v>
      </c>
      <c r="D60" s="563"/>
      <c r="E60" s="583">
        <v>-5000</v>
      </c>
      <c r="F60" s="583">
        <v>0</v>
      </c>
      <c r="G60" s="583">
        <v>0</v>
      </c>
      <c r="H60" s="1340"/>
      <c r="I60" s="703"/>
      <c r="J60" s="703"/>
      <c r="K60" s="703"/>
      <c r="L60" s="703"/>
      <c r="M60" s="1341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1228" t="s">
        <v>1084</v>
      </c>
      <c r="D61" s="563"/>
      <c r="E61" s="583">
        <v>-13350.1</v>
      </c>
      <c r="F61" s="583">
        <v>-1213.65</v>
      </c>
      <c r="G61" s="583">
        <v>0</v>
      </c>
      <c r="H61" s="540"/>
      <c r="I61" s="703"/>
      <c r="J61" s="703"/>
      <c r="K61" s="703"/>
      <c r="L61" s="703"/>
      <c r="M61" s="537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1228" t="s">
        <v>274</v>
      </c>
      <c r="D62" s="563"/>
      <c r="E62" s="583">
        <v>0</v>
      </c>
      <c r="F62" s="583">
        <v>-2716.18</v>
      </c>
      <c r="G62" s="583">
        <v>0</v>
      </c>
      <c r="H62" s="1340"/>
      <c r="I62" s="703"/>
      <c r="J62" s="703"/>
      <c r="K62" s="703"/>
      <c r="L62" s="703"/>
      <c r="M62" s="1341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804" t="s">
        <v>1006</v>
      </c>
      <c r="D63" s="663"/>
      <c r="E63" s="1277">
        <f>SUM(E64:E66)</f>
        <v>0</v>
      </c>
      <c r="F63" s="1277">
        <f>SUM(F64:F66)</f>
        <v>0</v>
      </c>
      <c r="G63" s="1277">
        <f>SUM(G64:G66)</f>
        <v>0</v>
      </c>
      <c r="H63" s="1278"/>
      <c r="I63" s="1279"/>
      <c r="J63" s="1279"/>
      <c r="K63" s="1279"/>
      <c r="L63" s="1279"/>
      <c r="M63" s="1280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2"/>
      <c r="D64" s="563"/>
      <c r="E64" s="583"/>
      <c r="F64" s="583"/>
      <c r="G64" s="583"/>
      <c r="H64" s="540"/>
      <c r="I64" s="703"/>
      <c r="J64" s="703"/>
      <c r="K64" s="703"/>
      <c r="L64" s="703"/>
      <c r="M64" s="537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19.5" customHeight="1">
      <c r="B65" s="629"/>
      <c r="C65" s="562"/>
      <c r="D65" s="563"/>
      <c r="E65" s="583"/>
      <c r="F65" s="583"/>
      <c r="G65" s="583"/>
      <c r="H65" s="540"/>
      <c r="I65" s="703"/>
      <c r="J65" s="703"/>
      <c r="K65" s="703"/>
      <c r="L65" s="703"/>
      <c r="M65" s="537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19.5" customHeight="1">
      <c r="B66" s="629"/>
      <c r="C66" s="564"/>
      <c r="D66" s="565"/>
      <c r="E66" s="584"/>
      <c r="F66" s="584"/>
      <c r="G66" s="584"/>
      <c r="H66" s="538"/>
      <c r="I66" s="531"/>
      <c r="J66" s="531"/>
      <c r="K66" s="531"/>
      <c r="L66" s="531"/>
      <c r="M66" s="539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77"/>
      <c r="D67" s="677"/>
      <c r="E67" s="678"/>
      <c r="F67" s="678"/>
      <c r="G67" s="678"/>
      <c r="H67" s="678"/>
      <c r="I67" s="678"/>
      <c r="J67" s="678"/>
      <c r="K67" s="678"/>
      <c r="L67" s="678"/>
      <c r="M67" s="678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39"/>
      <c r="D68" s="640"/>
      <c r="E68" s="679" t="s">
        <v>176</v>
      </c>
      <c r="F68" s="679" t="s">
        <v>177</v>
      </c>
      <c r="G68" s="679" t="s">
        <v>178</v>
      </c>
      <c r="H68" s="1357" t="s">
        <v>567</v>
      </c>
      <c r="I68" s="1358"/>
      <c r="J68" s="1358"/>
      <c r="K68" s="1358"/>
      <c r="L68" s="1358"/>
      <c r="M68" s="1359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47" t="s">
        <v>643</v>
      </c>
      <c r="D69" s="648"/>
      <c r="E69" s="680">
        <f>ejercicio-2</f>
        <v>2018</v>
      </c>
      <c r="F69" s="680">
        <f>ejercicio-1</f>
        <v>2019</v>
      </c>
      <c r="G69" s="680">
        <f>ejercicio</f>
        <v>2020</v>
      </c>
      <c r="H69" s="1360"/>
      <c r="I69" s="1361"/>
      <c r="J69" s="1361"/>
      <c r="K69" s="1361"/>
      <c r="L69" s="1361"/>
      <c r="M69" s="1362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58" t="s">
        <v>644</v>
      </c>
      <c r="D70" s="659"/>
      <c r="E70" s="511">
        <v>78046.28</v>
      </c>
      <c r="F70" s="511">
        <v>99963.25</v>
      </c>
      <c r="G70" s="817">
        <f>33651.58+19041.4+19041.4</f>
        <v>71734.38</v>
      </c>
      <c r="H70" s="704"/>
      <c r="I70" s="705"/>
      <c r="J70" s="705"/>
      <c r="K70" s="705"/>
      <c r="L70" s="705"/>
      <c r="M70" s="512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61" t="s">
        <v>645</v>
      </c>
      <c r="D71" s="662"/>
      <c r="E71" s="516">
        <v>81178.53</v>
      </c>
      <c r="F71" s="516">
        <v>108906.92</v>
      </c>
      <c r="G71" s="584">
        <f>205748.79-71734.38</f>
        <v>134014.41</v>
      </c>
      <c r="H71" s="538"/>
      <c r="I71" s="531"/>
      <c r="J71" s="531"/>
      <c r="K71" s="531"/>
      <c r="L71" s="531"/>
      <c r="M71" s="539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77"/>
      <c r="D72" s="677"/>
      <c r="E72" s="678"/>
      <c r="F72" s="678"/>
      <c r="G72" s="678"/>
      <c r="H72" s="678"/>
      <c r="I72" s="678"/>
      <c r="J72" s="678"/>
      <c r="K72" s="678"/>
      <c r="L72" s="678"/>
      <c r="M72" s="678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39"/>
      <c r="D73" s="640"/>
      <c r="E73" s="679" t="s">
        <v>176</v>
      </c>
      <c r="F73" s="679" t="s">
        <v>177</v>
      </c>
      <c r="G73" s="679" t="s">
        <v>178</v>
      </c>
      <c r="H73" s="1357" t="s">
        <v>567</v>
      </c>
      <c r="I73" s="1358"/>
      <c r="J73" s="1358"/>
      <c r="K73" s="1358"/>
      <c r="L73" s="1358"/>
      <c r="M73" s="1359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47" t="s">
        <v>679</v>
      </c>
      <c r="D74" s="648"/>
      <c r="E74" s="680">
        <f>ejercicio-2</f>
        <v>2018</v>
      </c>
      <c r="F74" s="680">
        <f>ejercicio-1</f>
        <v>2019</v>
      </c>
      <c r="G74" s="680">
        <f>ejercicio</f>
        <v>2020</v>
      </c>
      <c r="H74" s="1360"/>
      <c r="I74" s="1361"/>
      <c r="J74" s="1361"/>
      <c r="K74" s="1361"/>
      <c r="L74" s="1361"/>
      <c r="M74" s="1362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52" t="s">
        <v>680</v>
      </c>
      <c r="D75" s="653"/>
      <c r="E75" s="654">
        <f>SUM(E76:E78)</f>
        <v>0</v>
      </c>
      <c r="F75" s="654">
        <f>SUM(F76:F78)</f>
        <v>0</v>
      </c>
      <c r="G75" s="654">
        <f>SUM(G76:G78)</f>
        <v>0</v>
      </c>
      <c r="H75" s="684"/>
      <c r="I75" s="685"/>
      <c r="J75" s="685"/>
      <c r="K75" s="685"/>
      <c r="L75" s="685"/>
      <c r="M75" s="686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87" t="s">
        <v>681</v>
      </c>
      <c r="D76" s="688"/>
      <c r="E76" s="513"/>
      <c r="F76" s="513"/>
      <c r="G76" s="513"/>
      <c r="H76" s="535"/>
      <c r="I76" s="530"/>
      <c r="J76" s="530"/>
      <c r="K76" s="530"/>
      <c r="L76" s="530"/>
      <c r="M76" s="536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60" customFormat="1" ht="22.5" customHeight="1">
      <c r="B77" s="629"/>
      <c r="C77" s="689" t="s">
        <v>682</v>
      </c>
      <c r="D77" s="663"/>
      <c r="E77" s="514"/>
      <c r="F77" s="514"/>
      <c r="G77" s="514"/>
      <c r="H77" s="540"/>
      <c r="I77" s="703"/>
      <c r="J77" s="703"/>
      <c r="K77" s="703"/>
      <c r="L77" s="703"/>
      <c r="M77" s="537"/>
      <c r="N77" s="627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90" t="s">
        <v>683</v>
      </c>
      <c r="D78" s="691"/>
      <c r="E78" s="515"/>
      <c r="F78" s="515"/>
      <c r="G78" s="515"/>
      <c r="H78" s="706"/>
      <c r="I78" s="707"/>
      <c r="J78" s="707"/>
      <c r="K78" s="707"/>
      <c r="L78" s="707"/>
      <c r="M78" s="500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7" customFormat="1" ht="22.5" customHeight="1">
      <c r="B79" s="651"/>
      <c r="C79" s="652" t="s">
        <v>689</v>
      </c>
      <c r="D79" s="653"/>
      <c r="E79" s="654">
        <f>SUM(E80:E85)</f>
        <v>0</v>
      </c>
      <c r="F79" s="654">
        <f>SUM(F80:F85)</f>
        <v>0</v>
      </c>
      <c r="G79" s="654">
        <f>SUM(G80:G85)</f>
        <v>0</v>
      </c>
      <c r="H79" s="684"/>
      <c r="I79" s="685"/>
      <c r="J79" s="685"/>
      <c r="K79" s="685"/>
      <c r="L79" s="685"/>
      <c r="M79" s="686"/>
      <c r="N79" s="692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7" t="s">
        <v>684</v>
      </c>
      <c r="D80" s="688"/>
      <c r="E80" s="581"/>
      <c r="F80" s="581"/>
      <c r="G80" s="581"/>
      <c r="H80" s="535"/>
      <c r="I80" s="530"/>
      <c r="J80" s="530"/>
      <c r="K80" s="530"/>
      <c r="L80" s="530"/>
      <c r="M80" s="536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685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89" t="s">
        <v>686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89" t="s">
        <v>687</v>
      </c>
      <c r="D83" s="663"/>
      <c r="E83" s="583"/>
      <c r="F83" s="583"/>
      <c r="G83" s="583"/>
      <c r="H83" s="540"/>
      <c r="I83" s="703"/>
      <c r="J83" s="703"/>
      <c r="K83" s="703"/>
      <c r="L83" s="703"/>
      <c r="M83" s="537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93" t="s">
        <v>706</v>
      </c>
      <c r="D84" s="663"/>
      <c r="E84" s="583"/>
      <c r="F84" s="583"/>
      <c r="G84" s="583"/>
      <c r="H84" s="540"/>
      <c r="I84" s="703"/>
      <c r="J84" s="703"/>
      <c r="K84" s="703"/>
      <c r="L84" s="703"/>
      <c r="M84" s="537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661" t="s">
        <v>688</v>
      </c>
      <c r="D85" s="662"/>
      <c r="E85" s="584"/>
      <c r="F85" s="584"/>
      <c r="G85" s="584"/>
      <c r="H85" s="538"/>
      <c r="I85" s="531"/>
      <c r="J85" s="531"/>
      <c r="K85" s="531"/>
      <c r="L85" s="531"/>
      <c r="M85" s="539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22.5" customHeight="1">
      <c r="B86" s="629"/>
      <c r="C86" s="677"/>
      <c r="D86" s="677"/>
      <c r="E86" s="678"/>
      <c r="F86" s="678"/>
      <c r="G86" s="678"/>
      <c r="H86" s="678"/>
      <c r="I86" s="678"/>
      <c r="J86" s="678"/>
      <c r="K86" s="678"/>
      <c r="L86" s="678"/>
      <c r="M86" s="678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>
      <c r="B87" s="629"/>
      <c r="C87" s="1366" t="s">
        <v>723</v>
      </c>
      <c r="D87" s="1367"/>
      <c r="E87" s="1368"/>
      <c r="F87" s="772" t="s">
        <v>411</v>
      </c>
      <c r="G87" s="679" t="s">
        <v>178</v>
      </c>
      <c r="H87" s="1364" t="s">
        <v>567</v>
      </c>
      <c r="I87" s="1364"/>
      <c r="J87" s="1364"/>
      <c r="K87" s="1364"/>
      <c r="L87" s="1364"/>
      <c r="M87" s="1364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42.75" customHeight="1">
      <c r="B88" s="629"/>
      <c r="C88" s="1369"/>
      <c r="D88" s="1370"/>
      <c r="E88" s="1371"/>
      <c r="F88" s="773" t="s">
        <v>724</v>
      </c>
      <c r="G88" s="680">
        <f>ejercicio</f>
        <v>2020</v>
      </c>
      <c r="H88" s="1365"/>
      <c r="I88" s="1365"/>
      <c r="J88" s="1365"/>
      <c r="K88" s="1365"/>
      <c r="L88" s="1365"/>
      <c r="M88" s="136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 thickBot="1">
      <c r="B89" s="629"/>
      <c r="C89" s="672" t="s">
        <v>728</v>
      </c>
      <c r="D89" s="777"/>
      <c r="E89" s="778"/>
      <c r="F89" s="674"/>
      <c r="G89" s="674">
        <f>SUM(G90:G92)</f>
        <v>303525</v>
      </c>
      <c r="H89" s="681"/>
      <c r="I89" s="682"/>
      <c r="J89" s="682"/>
      <c r="K89" s="682"/>
      <c r="L89" s="682"/>
      <c r="M89" s="683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2" t="s">
        <v>725</v>
      </c>
      <c r="D90" s="1373"/>
      <c r="E90" s="1374"/>
      <c r="F90" s="818">
        <v>69</v>
      </c>
      <c r="G90" s="513">
        <v>303525</v>
      </c>
      <c r="H90" s="779" t="s">
        <v>1080</v>
      </c>
      <c r="I90" s="530"/>
      <c r="J90" s="530"/>
      <c r="K90" s="530"/>
      <c r="L90" s="530"/>
      <c r="M90" s="715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74" t="s">
        <v>726</v>
      </c>
      <c r="D91" s="775"/>
      <c r="E91" s="776"/>
      <c r="F91" s="818"/>
      <c r="G91" s="513">
        <v>0</v>
      </c>
      <c r="H91" s="714"/>
      <c r="I91" s="530"/>
      <c r="J91" s="530"/>
      <c r="K91" s="530"/>
      <c r="L91" s="530"/>
      <c r="M91" s="715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1375" t="s">
        <v>727</v>
      </c>
      <c r="D92" s="1376"/>
      <c r="E92" s="1377"/>
      <c r="F92" s="819"/>
      <c r="G92" s="514"/>
      <c r="H92" s="716"/>
      <c r="I92" s="703"/>
      <c r="J92" s="703"/>
      <c r="K92" s="703"/>
      <c r="L92" s="703"/>
      <c r="M92" s="717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66"/>
      <c r="D93" s="677"/>
      <c r="E93" s="767"/>
      <c r="F93" s="767"/>
      <c r="G93" s="767"/>
      <c r="H93" s="768"/>
      <c r="I93" s="768"/>
      <c r="J93" s="768"/>
      <c r="K93" s="768"/>
      <c r="L93" s="768"/>
      <c r="M93" s="768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69" t="s">
        <v>405</v>
      </c>
      <c r="D94" s="770"/>
      <c r="E94" s="678"/>
      <c r="F94" s="678"/>
      <c r="G94" s="678"/>
      <c r="H94" s="678"/>
      <c r="I94" s="678"/>
      <c r="J94" s="678"/>
      <c r="K94" s="678"/>
      <c r="L94" s="678"/>
      <c r="M94" s="678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0" t="s">
        <v>903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60" customFormat="1" ht="22.5" customHeight="1">
      <c r="B96" s="629"/>
      <c r="C96" s="771" t="s">
        <v>1002</v>
      </c>
      <c r="D96" s="770"/>
      <c r="E96" s="696"/>
      <c r="F96" s="696"/>
      <c r="G96" s="696"/>
      <c r="H96" s="696"/>
      <c r="I96" s="696"/>
      <c r="J96" s="696"/>
      <c r="K96" s="696"/>
      <c r="L96" s="696"/>
      <c r="M96" s="696"/>
      <c r="N96" s="627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60" customFormat="1" ht="22.5" customHeight="1">
      <c r="B97" s="629"/>
      <c r="C97" s="771" t="s">
        <v>767</v>
      </c>
      <c r="D97" s="770"/>
      <c r="E97" s="696"/>
      <c r="F97" s="696"/>
      <c r="G97" s="696"/>
      <c r="H97" s="696"/>
      <c r="I97" s="696"/>
      <c r="J97" s="696"/>
      <c r="K97" s="696"/>
      <c r="L97" s="696"/>
      <c r="M97" s="696"/>
      <c r="N97" s="627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ht="22.5" customHeight="1" thickBot="1">
      <c r="B98" s="697"/>
      <c r="C98" s="1349"/>
      <c r="D98" s="1349"/>
      <c r="E98" s="1349"/>
      <c r="F98" s="1349"/>
      <c r="G98" s="698"/>
      <c r="H98" s="698"/>
      <c r="I98" s="698"/>
      <c r="J98" s="698"/>
      <c r="K98" s="698"/>
      <c r="L98" s="698"/>
      <c r="M98" s="698"/>
      <c r="N98" s="699"/>
      <c r="P98" s="425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7"/>
    </row>
    <row r="99" spans="3:15" ht="22.5" customHeight="1">
      <c r="C99" s="624"/>
      <c r="D99" s="624"/>
      <c r="E99" s="625"/>
      <c r="F99" s="625"/>
      <c r="G99" s="625"/>
      <c r="H99" s="625"/>
      <c r="I99" s="625"/>
      <c r="J99" s="625"/>
      <c r="K99" s="625"/>
      <c r="L99" s="625"/>
      <c r="M99" s="625"/>
      <c r="O99" s="615" t="s">
        <v>936</v>
      </c>
    </row>
    <row r="100" spans="3:13" ht="12.75">
      <c r="C100" s="700" t="s">
        <v>70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701" t="s">
        <v>46</v>
      </c>
    </row>
    <row r="101" spans="3:13" ht="12.75">
      <c r="C101" s="702" t="s">
        <v>71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72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12.75">
      <c r="C103" s="702" t="s">
        <v>73</v>
      </c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12.75">
      <c r="C104" s="702" t="s">
        <v>74</v>
      </c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3:13" ht="22.5" customHeight="1">
      <c r="C107" s="624"/>
      <c r="D107" s="624"/>
      <c r="E107" s="625"/>
      <c r="F107" s="625"/>
      <c r="G107" s="625"/>
      <c r="H107" s="625"/>
      <c r="I107" s="625"/>
      <c r="J107" s="625"/>
      <c r="K107" s="625"/>
      <c r="L107" s="625"/>
      <c r="M107" s="625"/>
    </row>
    <row r="108" spans="3:13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</row>
    <row r="109" spans="6:13" ht="22.5" customHeight="1">
      <c r="F109" s="625"/>
      <c r="G109" s="625"/>
      <c r="H109" s="625"/>
      <c r="I109" s="625"/>
      <c r="J109" s="625"/>
      <c r="K109" s="625"/>
      <c r="L109" s="625"/>
      <c r="M109" s="625"/>
    </row>
  </sheetData>
  <sheetProtection insertRows="0"/>
  <mergeCells count="11">
    <mergeCell ref="C98:F98"/>
    <mergeCell ref="H45:M46"/>
    <mergeCell ref="H68:M69"/>
    <mergeCell ref="M6:M7"/>
    <mergeCell ref="D9:M9"/>
    <mergeCell ref="C12:D12"/>
    <mergeCell ref="H73:M74"/>
    <mergeCell ref="H87:M88"/>
    <mergeCell ref="C87:E88"/>
    <mergeCell ref="C90:E90"/>
    <mergeCell ref="C92:E92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48:G48 E52:G52 F49:G49 F50:G50 F51:G51 E63:G6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1">
      <selection activeCell="F93" sqref="F9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INSTITUTO MEDICO TINERFEÑO, S. A. (IMETISA)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6857334.34</v>
      </c>
      <c r="F16" s="325">
        <f>F17+F26+F30+F33+F40+F47+F48</f>
        <v>6526230.51</v>
      </c>
      <c r="G16" s="339">
        <f>G17+G26+G30+G33+G40+G47+G48</f>
        <v>6195126.68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6300.16</v>
      </c>
      <c r="F17" s="326">
        <f>SUM(F18:F25)</f>
        <v>6300.16</v>
      </c>
      <c r="G17" s="341">
        <f>SUM(G18:G25)</f>
        <v>4725.12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6300.16</v>
      </c>
      <c r="F22" s="458">
        <v>6300.16</v>
      </c>
      <c r="G22" s="459">
        <v>4725.12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6851034.18</v>
      </c>
      <c r="F26" s="326">
        <f>SUM(F27:F29)</f>
        <v>6519930.35</v>
      </c>
      <c r="G26" s="341">
        <f>SUM(G27:G29)</f>
        <v>6190401.56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6851034.18</v>
      </c>
      <c r="F28" s="458">
        <f>6851034.18-331103.83</f>
        <v>6519930.35</v>
      </c>
      <c r="G28" s="459">
        <f>+F28-329528.79</f>
        <v>6190401.56</v>
      </c>
      <c r="H28" s="49"/>
      <c r="J28" s="1337"/>
      <c r="K28" s="1336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7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4890123.16</v>
      </c>
      <c r="F50" s="325">
        <f>F51+F52+F65+F75+F82+F89+F90</f>
        <v>5602023.5200000005</v>
      </c>
      <c r="G50" s="339">
        <f>G51+G52+G65+G75+G82+G89+G90</f>
        <v>5009547.15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22748.02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22748.02</v>
      </c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374264.85</v>
      </c>
      <c r="F65" s="326">
        <f>F66+SUM(F69:F74)</f>
        <v>771080.44</v>
      </c>
      <c r="G65" s="341">
        <f>G66+SUM(G69:G74)</f>
        <v>603879.38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374264.85</v>
      </c>
      <c r="F66" s="327">
        <f>F67+F68</f>
        <v>671117.19</v>
      </c>
      <c r="G66" s="344">
        <f>G67+G68</f>
        <v>532145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374264.85</v>
      </c>
      <c r="F68" s="709">
        <v>671117.19</v>
      </c>
      <c r="G68" s="710">
        <v>532145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>
        <v>99963.25</v>
      </c>
      <c r="G73" s="459">
        <v>71734.38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180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>
        <v>180</v>
      </c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5107.59</v>
      </c>
      <c r="F89" s="461">
        <v>5107.59</v>
      </c>
      <c r="G89" s="462"/>
      <c r="H89" s="60"/>
      <c r="J89" s="422"/>
      <c r="K89" s="1238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4487822.7</v>
      </c>
      <c r="F90" s="326">
        <f>SUM(F91:F92)</f>
        <v>4825835.49</v>
      </c>
      <c r="G90" s="341">
        <f>SUM(G91:G92)</f>
        <v>4405667.7700000005</v>
      </c>
      <c r="H90" s="49"/>
      <c r="J90" s="422"/>
      <c r="K90" s="1238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4487822.7</v>
      </c>
      <c r="F91" s="458">
        <f>4220875.11+210009.38+100+91326+303525</f>
        <v>4825835.49</v>
      </c>
      <c r="G91" s="459">
        <f>4345084.57+174101.96-1575.04-111943.72</f>
        <v>4405667.7700000005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1237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11747457.5</v>
      </c>
      <c r="F94" s="329">
        <f>F50+F16</f>
        <v>12128254.030000001</v>
      </c>
      <c r="G94" s="314">
        <f>G50+G16</f>
        <v>11204673.83</v>
      </c>
      <c r="H94" s="80"/>
      <c r="J94" s="1237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5"/>
      <c r="D95" s="1355"/>
      <c r="E95" s="1355"/>
      <c r="F95" s="1355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26">
      <selection activeCell="E41" sqref="E4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INSTITUTO MEDICO TINERFEÑO, S. A. (IMETISA)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11358401.290000001</v>
      </c>
      <c r="F16" s="130">
        <f>F17+F35+F41</f>
        <v>11375332.085</v>
      </c>
      <c r="G16" s="139">
        <f>G17+G35+G41</f>
        <v>11018840.74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11198401.290000001</v>
      </c>
      <c r="F17" s="131">
        <f>+F18+F21+F22+F27+F28+F31+F32+F33+F34</f>
        <v>11215332.085</v>
      </c>
      <c r="G17" s="141">
        <f>+G18+G21+G22+G27+G28+G31+G32+G33+G34</f>
        <v>11018840.74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100000</v>
      </c>
      <c r="F18" s="131">
        <f>SUM(F19:F20)</f>
        <v>100000</v>
      </c>
      <c r="G18" s="141">
        <f>SUM(G19:G20)</f>
        <v>100000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100000</v>
      </c>
      <c r="F19" s="450">
        <v>100000</v>
      </c>
      <c r="G19" s="466">
        <v>100000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10471277.48</v>
      </c>
      <c r="F22" s="131">
        <f>SUM(F23:F26)</f>
        <v>10471277.48</v>
      </c>
      <c r="G22" s="141">
        <f>SUM(G23:G26)</f>
        <v>10471277.48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10471277.48</v>
      </c>
      <c r="F24" s="451">
        <v>10471277.48</v>
      </c>
      <c r="G24" s="467">
        <v>10471277.48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26808.25</v>
      </c>
      <c r="F28" s="131">
        <f>SUM(F29:F30)</f>
        <v>26808.25</v>
      </c>
      <c r="G28" s="141">
        <f>SUM(G29:G30)</f>
        <v>26808.25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26808.25</v>
      </c>
      <c r="F30" s="451">
        <v>26808.25</v>
      </c>
      <c r="G30" s="467">
        <v>26808.25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600315.56</v>
      </c>
      <c r="F32" s="452">
        <f>+'FC-3_CPyG'!F84</f>
        <v>617246.3549999999</v>
      </c>
      <c r="G32" s="468">
        <f>+'FC-3_CPyG'!G84</f>
        <v>420755.00999999995</v>
      </c>
      <c r="H32" s="49"/>
      <c r="J32" s="409"/>
      <c r="K32" s="1336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160000</v>
      </c>
      <c r="F41" s="452">
        <v>160000</v>
      </c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170320.8</v>
      </c>
      <c r="F43" s="130">
        <f>F44+F49+SUM(F55:F59)</f>
        <v>0</v>
      </c>
      <c r="G43" s="139">
        <f>G44+G49+SUM(G55:G59)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170320.8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170320.8</v>
      </c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218735.41</v>
      </c>
      <c r="F61" s="130">
        <f>F62+F63+F66+F72+F73+F83+F84</f>
        <v>752921.9500000001</v>
      </c>
      <c r="G61" s="139">
        <f>G62+G63+G66+G72+G73+G83+G84</f>
        <v>185833.09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600315.56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>
        <v>600315.56</v>
      </c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8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218735.41</v>
      </c>
      <c r="F73" s="131">
        <f>F74+SUM(F77:F82)</f>
        <v>152606.38999999998</v>
      </c>
      <c r="G73" s="141">
        <f>G74+SUM(G77:G82)</f>
        <v>185833.09</v>
      </c>
      <c r="H73" s="49"/>
      <c r="J73" s="422"/>
      <c r="K73" s="1238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21294.72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21294.72</v>
      </c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197440.69</v>
      </c>
      <c r="F78" s="451">
        <f>46820.85+105785.54</f>
        <v>152606.38999999998</v>
      </c>
      <c r="G78" s="467">
        <f>117315.8+68517.29</f>
        <v>185833.09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/>
      <c r="F81" s="451"/>
      <c r="G81" s="467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11747457.500000002</v>
      </c>
      <c r="F86" s="135">
        <f>F16+F43+F61</f>
        <v>12128254.035</v>
      </c>
      <c r="G86" s="150">
        <f>G16+G43+G61</f>
        <v>11204673.83</v>
      </c>
      <c r="H86" s="49"/>
      <c r="J86" s="1237"/>
      <c r="K86" s="1237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5"/>
      <c r="D87" s="1355"/>
      <c r="E87" s="1355"/>
      <c r="F87" s="1355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A25">
      <selection activeCell="K54" sqref="K54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0" t="str">
        <f>Entidad</f>
        <v>INSTITUTO MEDICO TINERFEÑO, S. A. (IMETISA)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1350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81">
        <f>ejercicio-1</f>
        <v>2019</v>
      </c>
      <c r="D13" s="1383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984</v>
      </c>
      <c r="L13" s="1195" t="s">
        <v>964</v>
      </c>
      <c r="M13" s="1394"/>
      <c r="N13" s="1395"/>
      <c r="O13" s="1395"/>
      <c r="P13" s="1396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82"/>
      <c r="D14" s="1384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985</v>
      </c>
      <c r="L14" s="1197">
        <f>ejercicio-1</f>
        <v>2019</v>
      </c>
      <c r="M14" s="1397" t="s">
        <v>986</v>
      </c>
      <c r="N14" s="1398"/>
      <c r="O14" s="1398"/>
      <c r="P14" s="1399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406"/>
      <c r="N15" s="1401"/>
      <c r="O15" s="1401"/>
      <c r="P15" s="1402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11198401.290000001</v>
      </c>
      <c r="F16" s="1207">
        <f t="shared" si="0"/>
        <v>0</v>
      </c>
      <c r="G16" s="1207">
        <f t="shared" si="0"/>
        <v>0</v>
      </c>
      <c r="H16" s="1207">
        <f t="shared" si="0"/>
        <v>0</v>
      </c>
      <c r="I16" s="1207">
        <f t="shared" si="0"/>
        <v>-600315.56</v>
      </c>
      <c r="J16" s="1207">
        <f t="shared" si="0"/>
        <v>0</v>
      </c>
      <c r="K16" s="1207">
        <f t="shared" si="0"/>
        <v>617246.3549999999</v>
      </c>
      <c r="L16" s="1207">
        <f t="shared" si="0"/>
        <v>11215332.085</v>
      </c>
      <c r="M16" s="1403"/>
      <c r="N16" s="1404"/>
      <c r="O16" s="1404"/>
      <c r="P16" s="1405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100000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100000</v>
      </c>
      <c r="M17" s="1378"/>
      <c r="N17" s="1379"/>
      <c r="O17" s="1379"/>
      <c r="P17" s="1380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100000</v>
      </c>
      <c r="F18" s="450"/>
      <c r="G18" s="450"/>
      <c r="H18" s="450"/>
      <c r="I18" s="450"/>
      <c r="J18" s="450"/>
      <c r="K18" s="450"/>
      <c r="L18" s="1213">
        <f>SUM(E18:K18)</f>
        <v>100000</v>
      </c>
      <c r="M18" s="1391"/>
      <c r="N18" s="1392"/>
      <c r="O18" s="1392"/>
      <c r="P18" s="1393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85"/>
      <c r="N19" s="1386"/>
      <c r="O19" s="1386"/>
      <c r="P19" s="1387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0</v>
      </c>
      <c r="F20" s="452"/>
      <c r="G20" s="452"/>
      <c r="H20" s="452"/>
      <c r="I20" s="452"/>
      <c r="J20" s="452"/>
      <c r="K20" s="452"/>
      <c r="L20" s="1210">
        <f>SUM(E20:K20)</f>
        <v>0</v>
      </c>
      <c r="M20" s="1388"/>
      <c r="N20" s="1389"/>
      <c r="O20" s="1389"/>
      <c r="P20" s="1390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10471277.48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0</v>
      </c>
      <c r="J21" s="1210">
        <f t="shared" si="2"/>
        <v>0</v>
      </c>
      <c r="K21" s="1210">
        <f t="shared" si="2"/>
        <v>0</v>
      </c>
      <c r="L21" s="1210">
        <f t="shared" si="2"/>
        <v>10471277.48</v>
      </c>
      <c r="M21" s="1378"/>
      <c r="N21" s="1379"/>
      <c r="O21" s="1379"/>
      <c r="P21" s="1380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0</v>
      </c>
      <c r="F22" s="450"/>
      <c r="G22" s="450"/>
      <c r="H22" s="450"/>
      <c r="I22" s="450"/>
      <c r="J22" s="450"/>
      <c r="K22" s="450"/>
      <c r="L22" s="1213">
        <f>SUM(E22:K22)</f>
        <v>0</v>
      </c>
      <c r="M22" s="1391"/>
      <c r="N22" s="1392"/>
      <c r="O22" s="1392"/>
      <c r="P22" s="1393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10471277.48</v>
      </c>
      <c r="F23" s="451"/>
      <c r="G23" s="451"/>
      <c r="H23" s="451"/>
      <c r="I23" s="451"/>
      <c r="J23" s="451"/>
      <c r="K23" s="451"/>
      <c r="L23" s="1216">
        <f>SUM(E23:K23)</f>
        <v>10471277.48</v>
      </c>
      <c r="M23" s="1385"/>
      <c r="N23" s="1386"/>
      <c r="O23" s="1386"/>
      <c r="P23" s="1387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85"/>
      <c r="N24" s="1386"/>
      <c r="O24" s="1386"/>
      <c r="P24" s="1387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85"/>
      <c r="N25" s="1386"/>
      <c r="O25" s="1386"/>
      <c r="P25" s="1387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88"/>
      <c r="N26" s="1389"/>
      <c r="O26" s="1389"/>
      <c r="P26" s="1390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26808.25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0</v>
      </c>
      <c r="J27" s="1210">
        <f t="shared" si="3"/>
        <v>0</v>
      </c>
      <c r="K27" s="1210">
        <f t="shared" si="3"/>
        <v>0</v>
      </c>
      <c r="L27" s="1210">
        <f t="shared" si="3"/>
        <v>26808.25</v>
      </c>
      <c r="M27" s="1378"/>
      <c r="N27" s="1379"/>
      <c r="O27" s="1379"/>
      <c r="P27" s="1380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91"/>
      <c r="N28" s="1392"/>
      <c r="O28" s="1392"/>
      <c r="P28" s="139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26808.25</v>
      </c>
      <c r="F29" s="451"/>
      <c r="G29" s="451"/>
      <c r="H29" s="451"/>
      <c r="I29" s="451"/>
      <c r="J29" s="451"/>
      <c r="K29" s="451"/>
      <c r="L29" s="1216">
        <f t="shared" si="4"/>
        <v>26808.25</v>
      </c>
      <c r="M29" s="1385"/>
      <c r="N29" s="1386"/>
      <c r="O29" s="1386"/>
      <c r="P29" s="1387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0</v>
      </c>
      <c r="F30" s="452"/>
      <c r="G30" s="452"/>
      <c r="H30" s="452"/>
      <c r="I30" s="452"/>
      <c r="J30" s="452"/>
      <c r="K30" s="452"/>
      <c r="L30" s="1210">
        <f t="shared" si="4"/>
        <v>0</v>
      </c>
      <c r="M30" s="1388"/>
      <c r="N30" s="1389"/>
      <c r="O30" s="1389"/>
      <c r="P30" s="1390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600315.56</v>
      </c>
      <c r="F31" s="452"/>
      <c r="G31" s="452"/>
      <c r="H31" s="452"/>
      <c r="I31" s="452">
        <f>-600315.56</f>
        <v>-600315.56</v>
      </c>
      <c r="J31" s="452"/>
      <c r="K31" s="452">
        <f>+'FC-4_PASIVO'!F32</f>
        <v>617246.3549999999</v>
      </c>
      <c r="L31" s="1210">
        <f t="shared" si="4"/>
        <v>617246.3549999999</v>
      </c>
      <c r="M31" s="1378"/>
      <c r="N31" s="1379"/>
      <c r="O31" s="1379"/>
      <c r="P31" s="1380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78"/>
      <c r="N32" s="1379"/>
      <c r="O32" s="1379"/>
      <c r="P32" s="1380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78"/>
      <c r="N33" s="1379"/>
      <c r="O33" s="1379"/>
      <c r="P33" s="1380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81">
        <f>ejercicio</f>
        <v>2020</v>
      </c>
      <c r="D35" s="1383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39" t="s">
        <v>984</v>
      </c>
      <c r="L35" s="1195" t="s">
        <v>964</v>
      </c>
      <c r="M35" s="1394"/>
      <c r="N35" s="1395"/>
      <c r="O35" s="1395"/>
      <c r="P35" s="1396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82"/>
      <c r="D36" s="1384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985</v>
      </c>
      <c r="L36" s="1197">
        <f>ejercicio</f>
        <v>2020</v>
      </c>
      <c r="M36" s="1397" t="s">
        <v>986</v>
      </c>
      <c r="N36" s="1398"/>
      <c r="O36" s="1398"/>
      <c r="P36" s="1399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400"/>
      <c r="N37" s="1401"/>
      <c r="O37" s="1401"/>
      <c r="P37" s="1402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11215332.085</v>
      </c>
      <c r="F38" s="1207">
        <f t="shared" si="5"/>
        <v>0</v>
      </c>
      <c r="G38" s="1207">
        <f t="shared" si="5"/>
        <v>0</v>
      </c>
      <c r="H38" s="1207">
        <f t="shared" si="5"/>
        <v>0</v>
      </c>
      <c r="I38" s="1207">
        <f t="shared" si="5"/>
        <v>-617246.3549999999</v>
      </c>
      <c r="J38" s="1207">
        <f t="shared" si="5"/>
        <v>0</v>
      </c>
      <c r="K38" s="1207">
        <f t="shared" si="5"/>
        <v>420755.00999999995</v>
      </c>
      <c r="L38" s="1207">
        <f t="shared" si="5"/>
        <v>11018840.74</v>
      </c>
      <c r="M38" s="1403"/>
      <c r="N38" s="1404"/>
      <c r="O38" s="1404"/>
      <c r="P38" s="1405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100000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100000</v>
      </c>
      <c r="M39" s="1378"/>
      <c r="N39" s="1379"/>
      <c r="O39" s="1379"/>
      <c r="P39" s="1380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100000</v>
      </c>
      <c r="F40" s="450"/>
      <c r="G40" s="450"/>
      <c r="H40" s="450"/>
      <c r="I40" s="450"/>
      <c r="J40" s="450"/>
      <c r="K40" s="450"/>
      <c r="L40" s="1213">
        <f>SUM(E40:K40)</f>
        <v>100000</v>
      </c>
      <c r="M40" s="1391"/>
      <c r="N40" s="1392"/>
      <c r="O40" s="1392"/>
      <c r="P40" s="1393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85"/>
      <c r="N41" s="1386"/>
      <c r="O41" s="1386"/>
      <c r="P41" s="1387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0</v>
      </c>
      <c r="F42" s="452"/>
      <c r="G42" s="452"/>
      <c r="H42" s="452"/>
      <c r="I42" s="452"/>
      <c r="J42" s="452"/>
      <c r="K42" s="452"/>
      <c r="L42" s="1210">
        <f>SUM(E42:K42)</f>
        <v>0</v>
      </c>
      <c r="M42" s="1388"/>
      <c r="N42" s="1389"/>
      <c r="O42" s="1389"/>
      <c r="P42" s="1390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10471277.48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0</v>
      </c>
      <c r="J43" s="1210">
        <f t="shared" si="7"/>
        <v>0</v>
      </c>
      <c r="K43" s="1210">
        <f t="shared" si="7"/>
        <v>0</v>
      </c>
      <c r="L43" s="1210">
        <f t="shared" si="7"/>
        <v>10471277.48</v>
      </c>
      <c r="M43" s="1378"/>
      <c r="N43" s="1379"/>
      <c r="O43" s="1379"/>
      <c r="P43" s="1380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0</v>
      </c>
      <c r="F44" s="450"/>
      <c r="G44" s="450"/>
      <c r="H44" s="450"/>
      <c r="I44" s="450"/>
      <c r="J44" s="450"/>
      <c r="K44" s="450"/>
      <c r="L44" s="1213">
        <f>SUM(E44:K44)</f>
        <v>0</v>
      </c>
      <c r="M44" s="1391"/>
      <c r="N44" s="1392"/>
      <c r="O44" s="1392"/>
      <c r="P44" s="1393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10471277.48</v>
      </c>
      <c r="F45" s="451"/>
      <c r="G45" s="451"/>
      <c r="H45" s="451"/>
      <c r="I45" s="451"/>
      <c r="J45" s="451"/>
      <c r="K45" s="451"/>
      <c r="L45" s="1216">
        <f>SUM(E45:K45)</f>
        <v>10471277.48</v>
      </c>
      <c r="M45" s="1385"/>
      <c r="N45" s="1386"/>
      <c r="O45" s="1386"/>
      <c r="P45" s="1387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85"/>
      <c r="N46" s="1386"/>
      <c r="O46" s="1386"/>
      <c r="P46" s="1387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85"/>
      <c r="N47" s="1386"/>
      <c r="O47" s="1386"/>
      <c r="P47" s="1387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88"/>
      <c r="N48" s="1389"/>
      <c r="O48" s="1389"/>
      <c r="P48" s="1390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26808.25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0</v>
      </c>
      <c r="J49" s="1210">
        <f t="shared" si="8"/>
        <v>0</v>
      </c>
      <c r="K49" s="1210">
        <f t="shared" si="8"/>
        <v>0</v>
      </c>
      <c r="L49" s="1210">
        <f t="shared" si="8"/>
        <v>26808.25</v>
      </c>
      <c r="M49" s="1378"/>
      <c r="N49" s="1379"/>
      <c r="O49" s="1379"/>
      <c r="P49" s="1380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91"/>
      <c r="N50" s="1392"/>
      <c r="O50" s="1392"/>
      <c r="P50" s="1393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26808.25</v>
      </c>
      <c r="F51" s="451"/>
      <c r="G51" s="451"/>
      <c r="H51" s="451"/>
      <c r="I51" s="451"/>
      <c r="J51" s="451"/>
      <c r="K51" s="451"/>
      <c r="L51" s="1216">
        <f t="shared" si="10"/>
        <v>26808.25</v>
      </c>
      <c r="M51" s="1385"/>
      <c r="N51" s="1386"/>
      <c r="O51" s="1386"/>
      <c r="P51" s="1387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0</v>
      </c>
      <c r="F52" s="452"/>
      <c r="G52" s="452"/>
      <c r="H52" s="452"/>
      <c r="I52" s="452"/>
      <c r="J52" s="452"/>
      <c r="K52" s="452"/>
      <c r="L52" s="1210">
        <f t="shared" si="10"/>
        <v>0</v>
      </c>
      <c r="M52" s="1388"/>
      <c r="N52" s="1389"/>
      <c r="O52" s="1389"/>
      <c r="P52" s="1390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617246.3549999999</v>
      </c>
      <c r="F53" s="452"/>
      <c r="G53" s="452"/>
      <c r="H53" s="452"/>
      <c r="I53" s="452">
        <f>+K31*-1</f>
        <v>-617246.3549999999</v>
      </c>
      <c r="J53" s="452"/>
      <c r="K53" s="452">
        <f>+'FC-4_PASIVO'!G32</f>
        <v>420755.00999999995</v>
      </c>
      <c r="L53" s="1210">
        <f t="shared" si="10"/>
        <v>420755.00999999995</v>
      </c>
      <c r="M53" s="1378"/>
      <c r="N53" s="1379"/>
      <c r="O53" s="1379"/>
      <c r="P53" s="1380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78"/>
      <c r="N54" s="1379"/>
      <c r="O54" s="1379"/>
      <c r="P54" s="1380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78"/>
      <c r="N55" s="1379"/>
      <c r="O55" s="1379"/>
      <c r="P55" s="1380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9"/>
      <c r="D58" s="1349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2019-11-30T19:33:52Z</cp:lastPrinted>
  <dcterms:created xsi:type="dcterms:W3CDTF">2017-09-18T15:25:23Z</dcterms:created>
  <dcterms:modified xsi:type="dcterms:W3CDTF">2020-03-11T11:12:50Z</dcterms:modified>
  <cp:category/>
  <cp:version/>
  <cp:contentType/>
  <cp:contentStatus/>
</cp:coreProperties>
</file>